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ichal.kudlik\Documents\Projekty\ZP Kunčice\Odevzdání 19012021\"/>
    </mc:Choice>
  </mc:AlternateContent>
  <bookViews>
    <workbookView xWindow="1005" yWindow="120" windowWidth="28800" windowHeight="12300" tabRatio="698" activeTab="3"/>
  </bookViews>
  <sheets>
    <sheet name="Úvodní list" sheetId="2" r:id="rId1"/>
    <sheet name="DATA" sheetId="7" r:id="rId2"/>
    <sheet name="Pořízení a provozuschopnost ŽKV" sheetId="4" r:id="rId3"/>
    <sheet name="Parametry jízdy vlaku" sheetId="3" r:id="rId4"/>
    <sheet name="Obsazení vlaku personálem" sheetId="5" r:id="rId5"/>
    <sheet name="SOUHRN PN VLAKŮ" sheetId="9" r:id="rId6"/>
    <sheet name="Katalog vozidel" sheetId="11" r:id="rId7"/>
  </sheets>
  <definedNames>
    <definedName name="Druh_vlaku">DATA!$B$27:$B$29</definedName>
    <definedName name="Profese">DATA!$P$7:$P$14</definedName>
    <definedName name="rekuperace">DATA!$C$33:$C$34</definedName>
    <definedName name="Rychlost">DATA!$J$29:$J$34</definedName>
    <definedName name="Sklon">DATA!$J$26:$J$28</definedName>
    <definedName name="Trakce">DATA!$C$27:$C$30</definedName>
    <definedName name="vlak1">DATA!$P$7:$P$14</definedName>
    <definedName name="Zastaveni">DATA!$J$23:$J$25</definedName>
  </definedNames>
  <calcPr calcId="162913"/>
  <fileRecoveryPr autoRecover="0"/>
</workbook>
</file>

<file path=xl/calcChain.xml><?xml version="1.0" encoding="utf-8"?>
<calcChain xmlns="http://schemas.openxmlformats.org/spreadsheetml/2006/main">
  <c r="L12" i="7" l="1"/>
  <c r="L13" i="7"/>
  <c r="L14" i="7"/>
  <c r="F34" i="3"/>
  <c r="F8" i="9" s="1"/>
  <c r="G34" i="3"/>
  <c r="G8" i="9" s="1"/>
  <c r="H34" i="3"/>
  <c r="H8" i="9" s="1"/>
  <c r="I34" i="3"/>
  <c r="I8" i="9" s="1"/>
  <c r="J34" i="3"/>
  <c r="J8" i="9" s="1"/>
  <c r="K34" i="3"/>
  <c r="K8" i="9" s="1"/>
  <c r="L34" i="3"/>
  <c r="L8" i="9" s="1"/>
  <c r="M34" i="3"/>
  <c r="N34" i="3"/>
  <c r="O34" i="3"/>
  <c r="P34" i="3"/>
  <c r="P8" i="9"/>
  <c r="Q34" i="3"/>
  <c r="Q8" i="9" s="1"/>
  <c r="R34" i="3"/>
  <c r="R8" i="9"/>
  <c r="S34" i="3"/>
  <c r="S8" i="9" s="1"/>
  <c r="T34" i="3"/>
  <c r="T8" i="9" s="1"/>
  <c r="U34" i="3"/>
  <c r="V34" i="3"/>
  <c r="W34" i="3"/>
  <c r="X34" i="3"/>
  <c r="X8" i="9" s="1"/>
  <c r="E34" i="3"/>
  <c r="E8" i="9" s="1"/>
  <c r="X36" i="4"/>
  <c r="W36" i="4"/>
  <c r="V36" i="4"/>
  <c r="U36" i="4"/>
  <c r="T36" i="4"/>
  <c r="S36" i="4"/>
  <c r="R36" i="4"/>
  <c r="Q36" i="4"/>
  <c r="P36" i="4"/>
  <c r="O36" i="4"/>
  <c r="N36" i="4"/>
  <c r="M36" i="4"/>
  <c r="L36" i="4"/>
  <c r="K36" i="4"/>
  <c r="J36" i="4"/>
  <c r="I36" i="4"/>
  <c r="H36" i="4"/>
  <c r="G36" i="4"/>
  <c r="F36" i="4"/>
  <c r="E36" i="4"/>
  <c r="X27" i="3"/>
  <c r="X29" i="3" s="1"/>
  <c r="W27" i="3"/>
  <c r="W31" i="3" s="1"/>
  <c r="V27" i="3"/>
  <c r="V28" i="3" s="1"/>
  <c r="U27" i="3"/>
  <c r="U32" i="3" s="1"/>
  <c r="T27" i="3"/>
  <c r="T30" i="3" s="1"/>
  <c r="S27" i="3"/>
  <c r="S31" i="3" s="1"/>
  <c r="R27" i="3"/>
  <c r="R29" i="3" s="1"/>
  <c r="Q27" i="3"/>
  <c r="Q29" i="3" s="1"/>
  <c r="P27" i="3"/>
  <c r="P32" i="3" s="1"/>
  <c r="O27" i="3"/>
  <c r="O30" i="3" s="1"/>
  <c r="N27" i="3"/>
  <c r="N31" i="3" s="1"/>
  <c r="M27" i="3"/>
  <c r="M28" i="3" s="1"/>
  <c r="L27" i="3"/>
  <c r="L29" i="3" s="1"/>
  <c r="K27" i="3"/>
  <c r="K28" i="3" s="1"/>
  <c r="J27" i="3"/>
  <c r="J32" i="3" s="1"/>
  <c r="I27" i="3"/>
  <c r="I28" i="3" s="1"/>
  <c r="H27" i="3"/>
  <c r="H31" i="3" s="1"/>
  <c r="G27" i="3"/>
  <c r="G32" i="3" s="1"/>
  <c r="F27" i="3"/>
  <c r="F28" i="3" s="1"/>
  <c r="E27" i="3"/>
  <c r="E30" i="3" s="1"/>
  <c r="B22" i="7"/>
  <c r="B21" i="7"/>
  <c r="B20" i="7"/>
  <c r="B19" i="7"/>
  <c r="L11" i="7"/>
  <c r="M11" i="7" s="1"/>
  <c r="Q11" i="7" s="1"/>
  <c r="L10" i="7"/>
  <c r="L9" i="7"/>
  <c r="M9" i="7" s="1"/>
  <c r="Q9" i="7" s="1"/>
  <c r="K12" i="5" s="1"/>
  <c r="L8" i="7"/>
  <c r="L7" i="7"/>
  <c r="M7" i="7" s="1"/>
  <c r="Q7" i="7" s="1"/>
  <c r="H7" i="9"/>
  <c r="V8" i="9"/>
  <c r="N8" i="9"/>
  <c r="O8" i="9"/>
  <c r="U8" i="9"/>
  <c r="W8" i="9"/>
  <c r="N20" i="3"/>
  <c r="N12" i="9"/>
  <c r="O20" i="3"/>
  <c r="O12" i="9" s="1"/>
  <c r="P20" i="3"/>
  <c r="P12" i="9" s="1"/>
  <c r="Q20" i="3"/>
  <c r="Q21" i="3" s="1"/>
  <c r="Q13" i="9" s="1"/>
  <c r="R20" i="3"/>
  <c r="R12" i="9"/>
  <c r="S20" i="3"/>
  <c r="S12" i="9"/>
  <c r="T20" i="3"/>
  <c r="T12" i="9" s="1"/>
  <c r="U20" i="3"/>
  <c r="U12" i="9" s="1"/>
  <c r="V20" i="3"/>
  <c r="V12" i="9"/>
  <c r="W20" i="3"/>
  <c r="W12" i="9"/>
  <c r="X20" i="3"/>
  <c r="X12" i="9"/>
  <c r="E20" i="3"/>
  <c r="E12" i="9" s="1"/>
  <c r="F20" i="3"/>
  <c r="F12" i="9" s="1"/>
  <c r="G20" i="3"/>
  <c r="G12" i="9" s="1"/>
  <c r="H20" i="3"/>
  <c r="H12" i="9" s="1"/>
  <c r="I20" i="3"/>
  <c r="I12" i="9" s="1"/>
  <c r="J20" i="3"/>
  <c r="J12" i="9" s="1"/>
  <c r="K20" i="3"/>
  <c r="K12" i="9" s="1"/>
  <c r="L20" i="3"/>
  <c r="L21" i="3" s="1"/>
  <c r="L13" i="9" s="1"/>
  <c r="M20" i="3"/>
  <c r="M12" i="9"/>
  <c r="M46" i="4"/>
  <c r="M18" i="9" s="1"/>
  <c r="R46" i="4"/>
  <c r="R18" i="9"/>
  <c r="S46" i="4"/>
  <c r="S18" i="9"/>
  <c r="T46" i="4"/>
  <c r="T18" i="9"/>
  <c r="U46" i="4"/>
  <c r="U18" i="9" s="1"/>
  <c r="U22" i="9" s="1"/>
  <c r="V46" i="4"/>
  <c r="V18" i="9"/>
  <c r="W46" i="4"/>
  <c r="W18" i="9"/>
  <c r="X46" i="4"/>
  <c r="X18" i="9"/>
  <c r="M47" i="4"/>
  <c r="M17" i="9" s="1"/>
  <c r="R47" i="4"/>
  <c r="S47" i="4"/>
  <c r="S17" i="9" s="1"/>
  <c r="T47" i="4"/>
  <c r="T17" i="9" s="1"/>
  <c r="U47" i="4"/>
  <c r="U17" i="9" s="1"/>
  <c r="V47" i="4"/>
  <c r="V17" i="9" s="1"/>
  <c r="W47" i="4"/>
  <c r="W17" i="9" s="1"/>
  <c r="X47" i="4"/>
  <c r="X17" i="9" s="1"/>
  <c r="F50" i="4"/>
  <c r="G50" i="4"/>
  <c r="H50" i="4"/>
  <c r="I50" i="4"/>
  <c r="J50" i="4"/>
  <c r="K50" i="4"/>
  <c r="L50" i="4"/>
  <c r="M50" i="4"/>
  <c r="N50" i="4"/>
  <c r="O50" i="4"/>
  <c r="P50" i="4"/>
  <c r="Q50" i="4"/>
  <c r="R50" i="4"/>
  <c r="S50" i="4"/>
  <c r="T50" i="4"/>
  <c r="U50" i="4"/>
  <c r="V50" i="4"/>
  <c r="W50" i="4"/>
  <c r="X50" i="4"/>
  <c r="E50" i="4"/>
  <c r="E4" i="3"/>
  <c r="F4" i="3"/>
  <c r="R21" i="3"/>
  <c r="R13" i="9" s="1"/>
  <c r="S21" i="3"/>
  <c r="S13" i="9" s="1"/>
  <c r="T21" i="3"/>
  <c r="T13" i="9" s="1"/>
  <c r="U21" i="3"/>
  <c r="U13" i="9" s="1"/>
  <c r="V21" i="3"/>
  <c r="V13" i="9" s="1"/>
  <c r="W21" i="3"/>
  <c r="W13" i="9" s="1"/>
  <c r="X21" i="3"/>
  <c r="X13" i="9" s="1"/>
  <c r="M21" i="3"/>
  <c r="M13" i="9" s="1"/>
  <c r="L7" i="9"/>
  <c r="K7" i="9"/>
  <c r="T4" i="5"/>
  <c r="R37" i="3"/>
  <c r="V37" i="3"/>
  <c r="W37" i="3"/>
  <c r="W19" i="9" s="1"/>
  <c r="W36" i="9" s="1"/>
  <c r="M14" i="7"/>
  <c r="Q14" i="7" s="1"/>
  <c r="M13" i="7"/>
  <c r="Q13" i="7" s="1"/>
  <c r="M10" i="7"/>
  <c r="Q10" i="7" s="1"/>
  <c r="O9" i="5" s="1"/>
  <c r="M8" i="7"/>
  <c r="Q8" i="7" s="1"/>
  <c r="M7" i="9"/>
  <c r="M6" i="9"/>
  <c r="M5" i="9"/>
  <c r="N6" i="9"/>
  <c r="N5" i="9"/>
  <c r="O6" i="9"/>
  <c r="O5" i="9"/>
  <c r="P7" i="9"/>
  <c r="P6" i="9"/>
  <c r="P5" i="9"/>
  <c r="Q7" i="9"/>
  <c r="Q6" i="9"/>
  <c r="Q5" i="9"/>
  <c r="R7" i="9"/>
  <c r="R6" i="9"/>
  <c r="R5" i="9"/>
  <c r="S7" i="9"/>
  <c r="S6" i="9"/>
  <c r="S5" i="9"/>
  <c r="T7" i="9"/>
  <c r="T6" i="9"/>
  <c r="T5" i="9"/>
  <c r="U7" i="9"/>
  <c r="U6" i="9"/>
  <c r="U5" i="9"/>
  <c r="V7" i="9"/>
  <c r="V6" i="9"/>
  <c r="V5" i="9"/>
  <c r="W7" i="9"/>
  <c r="W6" i="9"/>
  <c r="W5" i="9"/>
  <c r="X7" i="9"/>
  <c r="X6" i="9"/>
  <c r="X5" i="9"/>
  <c r="L6" i="9"/>
  <c r="L5" i="9"/>
  <c r="K6" i="9"/>
  <c r="K5" i="9"/>
  <c r="J6" i="9"/>
  <c r="J5" i="9"/>
  <c r="I7" i="9"/>
  <c r="I6" i="9"/>
  <c r="I5" i="9"/>
  <c r="H6" i="9"/>
  <c r="H5" i="9"/>
  <c r="G7" i="9"/>
  <c r="G6" i="9"/>
  <c r="G5" i="9"/>
  <c r="F7" i="9"/>
  <c r="F6" i="9"/>
  <c r="F5" i="9"/>
  <c r="J7" i="9"/>
  <c r="W4" i="5"/>
  <c r="V4" i="5"/>
  <c r="U4" i="5"/>
  <c r="S4" i="5"/>
  <c r="R4" i="5"/>
  <c r="Q4" i="5"/>
  <c r="P4" i="5"/>
  <c r="O4" i="5"/>
  <c r="N4" i="5"/>
  <c r="M4" i="5"/>
  <c r="L4" i="5"/>
  <c r="K4" i="5"/>
  <c r="J4" i="5"/>
  <c r="I4" i="5"/>
  <c r="H4" i="5"/>
  <c r="G4" i="5"/>
  <c r="F4" i="5"/>
  <c r="E4" i="5"/>
  <c r="D4" i="5"/>
  <c r="E7" i="9"/>
  <c r="E6" i="9"/>
  <c r="E5" i="9"/>
  <c r="X4" i="9"/>
  <c r="X33" i="9" s="1"/>
  <c r="W4" i="9"/>
  <c r="W28" i="9" s="1"/>
  <c r="V4" i="9"/>
  <c r="V11" i="9" s="1"/>
  <c r="U4" i="9"/>
  <c r="U28" i="9" s="1"/>
  <c r="T4" i="9"/>
  <c r="S4" i="9"/>
  <c r="S28" i="9" s="1"/>
  <c r="R4" i="9"/>
  <c r="R33" i="9" s="1"/>
  <c r="Q4" i="9"/>
  <c r="Q33" i="9" s="1"/>
  <c r="P4" i="9"/>
  <c r="P16" i="9" s="1"/>
  <c r="O4" i="9"/>
  <c r="O11" i="9"/>
  <c r="N4" i="9"/>
  <c r="N28" i="9" s="1"/>
  <c r="N33" i="9"/>
  <c r="M4" i="9"/>
  <c r="M33" i="9"/>
  <c r="L4" i="9"/>
  <c r="L16" i="9" s="1"/>
  <c r="K4" i="9"/>
  <c r="K16" i="9" s="1"/>
  <c r="J4" i="9"/>
  <c r="J28" i="9" s="1"/>
  <c r="I4" i="9"/>
  <c r="I16" i="9" s="1"/>
  <c r="H4" i="9"/>
  <c r="H28" i="9" s="1"/>
  <c r="G4" i="9"/>
  <c r="G28" i="9" s="1"/>
  <c r="F4" i="9"/>
  <c r="F16" i="9" s="1"/>
  <c r="E4" i="9"/>
  <c r="E16" i="9" s="1"/>
  <c r="F45" i="4"/>
  <c r="G45" i="4"/>
  <c r="H45" i="4"/>
  <c r="I45" i="4"/>
  <c r="J45" i="4"/>
  <c r="K45" i="4"/>
  <c r="L45" i="4"/>
  <c r="M45" i="4"/>
  <c r="N45" i="4"/>
  <c r="O45" i="4"/>
  <c r="P45" i="4"/>
  <c r="Q45" i="4"/>
  <c r="R45" i="4"/>
  <c r="S45" i="4"/>
  <c r="T45" i="4"/>
  <c r="U45" i="4"/>
  <c r="V45" i="4"/>
  <c r="W45" i="4"/>
  <c r="X45" i="4"/>
  <c r="F40" i="4"/>
  <c r="G40" i="4"/>
  <c r="H40" i="4"/>
  <c r="I40" i="4"/>
  <c r="J40" i="4"/>
  <c r="K40" i="4"/>
  <c r="L40" i="4"/>
  <c r="M40" i="4"/>
  <c r="N40" i="4"/>
  <c r="O40" i="4"/>
  <c r="P40" i="4"/>
  <c r="Q40" i="4"/>
  <c r="R40" i="4"/>
  <c r="S40" i="4"/>
  <c r="T40" i="4"/>
  <c r="U40" i="4"/>
  <c r="V40" i="4"/>
  <c r="W40" i="4"/>
  <c r="X40" i="4"/>
  <c r="E45" i="4"/>
  <c r="E40" i="4"/>
  <c r="F31" i="4"/>
  <c r="F71" i="4" s="1"/>
  <c r="W18" i="5"/>
  <c r="V18" i="5"/>
  <c r="U18" i="5"/>
  <c r="T18" i="5"/>
  <c r="S18" i="5"/>
  <c r="R18" i="5"/>
  <c r="Q18" i="5"/>
  <c r="P18" i="5"/>
  <c r="O18" i="5"/>
  <c r="N18" i="5"/>
  <c r="M18" i="5"/>
  <c r="L18" i="5"/>
  <c r="K18" i="5"/>
  <c r="J18" i="5"/>
  <c r="I18" i="5"/>
  <c r="H18" i="5"/>
  <c r="G18" i="5"/>
  <c r="F18" i="5"/>
  <c r="E18" i="5"/>
  <c r="D18" i="5"/>
  <c r="W15" i="5"/>
  <c r="V15" i="5"/>
  <c r="U15" i="5"/>
  <c r="T15" i="5"/>
  <c r="S15" i="5"/>
  <c r="R15" i="5"/>
  <c r="Q15" i="5"/>
  <c r="P15" i="5"/>
  <c r="O15" i="5"/>
  <c r="N15" i="5"/>
  <c r="M15" i="5"/>
  <c r="L15" i="5"/>
  <c r="K15" i="5"/>
  <c r="J15" i="5"/>
  <c r="I15" i="5"/>
  <c r="H15" i="5"/>
  <c r="G15" i="5"/>
  <c r="F15" i="5"/>
  <c r="E15" i="5"/>
  <c r="W12" i="5"/>
  <c r="V12" i="5"/>
  <c r="U12" i="5"/>
  <c r="T12" i="5"/>
  <c r="S12" i="5"/>
  <c r="R12" i="5"/>
  <c r="Q12" i="5"/>
  <c r="P12" i="5"/>
  <c r="O12" i="5"/>
  <c r="N12" i="5"/>
  <c r="M12" i="5"/>
  <c r="L12" i="5"/>
  <c r="I12" i="5"/>
  <c r="H12" i="5"/>
  <c r="G12" i="5"/>
  <c r="F12" i="5"/>
  <c r="E12" i="5"/>
  <c r="D12" i="5"/>
  <c r="W9" i="5"/>
  <c r="V9" i="5"/>
  <c r="U9" i="5"/>
  <c r="T9" i="5"/>
  <c r="T20" i="5"/>
  <c r="U20" i="9" s="1"/>
  <c r="U21" i="9" s="1"/>
  <c r="S9" i="5"/>
  <c r="R9" i="5"/>
  <c r="Q9" i="5"/>
  <c r="Q20" i="5" s="1"/>
  <c r="R20" i="9" s="1"/>
  <c r="R21" i="9" s="1"/>
  <c r="P9" i="5"/>
  <c r="N9" i="5"/>
  <c r="M9" i="5"/>
  <c r="L9" i="5"/>
  <c r="Q6" i="5"/>
  <c r="U6" i="5"/>
  <c r="V6" i="5"/>
  <c r="M12" i="7"/>
  <c r="Q12" i="7" s="1"/>
  <c r="G4" i="3"/>
  <c r="H4" i="3"/>
  <c r="I4" i="3"/>
  <c r="J4" i="3"/>
  <c r="K4" i="3"/>
  <c r="L4" i="3"/>
  <c r="M4" i="3"/>
  <c r="N4" i="3"/>
  <c r="O4" i="3"/>
  <c r="P4" i="3"/>
  <c r="Q4" i="3"/>
  <c r="R4" i="3"/>
  <c r="S4" i="3"/>
  <c r="T4" i="3"/>
  <c r="U4" i="3"/>
  <c r="V4" i="3"/>
  <c r="W4" i="3"/>
  <c r="X4" i="3"/>
  <c r="G30" i="4"/>
  <c r="G42" i="4" s="1"/>
  <c r="H30" i="4"/>
  <c r="H42" i="4" s="1"/>
  <c r="I30" i="4"/>
  <c r="I42" i="4" s="1"/>
  <c r="J30" i="4"/>
  <c r="J42" i="4" s="1"/>
  <c r="J47" i="4" s="1"/>
  <c r="J17" i="9" s="1"/>
  <c r="K30" i="4"/>
  <c r="K42" i="4" s="1"/>
  <c r="K47" i="4" s="1"/>
  <c r="K17" i="9" s="1"/>
  <c r="L30" i="4"/>
  <c r="L42" i="4" s="1"/>
  <c r="L47" i="4" s="1"/>
  <c r="L17" i="9" s="1"/>
  <c r="M30" i="4"/>
  <c r="M42" i="4" s="1"/>
  <c r="N30" i="4"/>
  <c r="N42" i="4"/>
  <c r="N47" i="4" s="1"/>
  <c r="N17" i="9" s="1"/>
  <c r="O30" i="4"/>
  <c r="O42" i="4"/>
  <c r="O47" i="4"/>
  <c r="O17" i="9" s="1"/>
  <c r="P30" i="4"/>
  <c r="P42" i="4"/>
  <c r="P47" i="4"/>
  <c r="P17" i="9" s="1"/>
  <c r="Q30" i="4"/>
  <c r="Q42" i="4" s="1"/>
  <c r="Q47" i="4" s="1"/>
  <c r="Q17" i="9" s="1"/>
  <c r="R30" i="4"/>
  <c r="R42" i="4" s="1"/>
  <c r="R17" i="9"/>
  <c r="R22" i="9" s="1"/>
  <c r="R29" i="9" s="1"/>
  <c r="S30" i="4"/>
  <c r="S42" i="4"/>
  <c r="T30" i="4"/>
  <c r="T42" i="4" s="1"/>
  <c r="U30" i="4"/>
  <c r="U42" i="4"/>
  <c r="V30" i="4"/>
  <c r="V42" i="4"/>
  <c r="W30" i="4"/>
  <c r="W42" i="4"/>
  <c r="X30" i="4"/>
  <c r="X42" i="4" s="1"/>
  <c r="G31" i="4"/>
  <c r="G64" i="4" s="1"/>
  <c r="H31" i="4"/>
  <c r="H80" i="4" s="1"/>
  <c r="I31" i="4"/>
  <c r="I78" i="4" s="1"/>
  <c r="J31" i="4"/>
  <c r="J79" i="4" s="1"/>
  <c r="K31" i="4"/>
  <c r="K58" i="4" s="1"/>
  <c r="L31" i="4"/>
  <c r="L75" i="4" s="1"/>
  <c r="M31" i="4"/>
  <c r="M41" i="4" s="1"/>
  <c r="N31" i="4"/>
  <c r="N41" i="4" s="1"/>
  <c r="N46" i="4"/>
  <c r="N18" i="9" s="1"/>
  <c r="O31" i="4"/>
  <c r="O74" i="4" s="1"/>
  <c r="O41" i="4"/>
  <c r="O46" i="4"/>
  <c r="O18" i="9" s="1"/>
  <c r="O59" i="4"/>
  <c r="P31" i="4"/>
  <c r="P68" i="4" s="1"/>
  <c r="Q31" i="4"/>
  <c r="Q78" i="4" s="1"/>
  <c r="Q76" i="4"/>
  <c r="R31" i="4"/>
  <c r="R69" i="4" s="1"/>
  <c r="R63" i="4"/>
  <c r="R73" i="4"/>
  <c r="S31" i="4"/>
  <c r="S53" i="4" s="1"/>
  <c r="T31" i="4"/>
  <c r="T59" i="4" s="1"/>
  <c r="T80" i="4"/>
  <c r="U31" i="4"/>
  <c r="U41" i="4" s="1"/>
  <c r="V31" i="4"/>
  <c r="V41" i="4"/>
  <c r="W31" i="4"/>
  <c r="W61" i="4" s="1"/>
  <c r="X31" i="4"/>
  <c r="X53" i="4" s="1"/>
  <c r="F30" i="4"/>
  <c r="F42" i="4" s="1"/>
  <c r="E31" i="4"/>
  <c r="E60" i="4" s="1"/>
  <c r="E30" i="4"/>
  <c r="E42" i="4" s="1"/>
  <c r="O57" i="4"/>
  <c r="O51" i="4"/>
  <c r="O66" i="4"/>
  <c r="O7" i="9"/>
  <c r="N55" i="4"/>
  <c r="W56" i="4"/>
  <c r="V55" i="4"/>
  <c r="O65" i="4"/>
  <c r="O69" i="4"/>
  <c r="T73" i="4"/>
  <c r="O80" i="4"/>
  <c r="O79" i="4"/>
  <c r="O58" i="4"/>
  <c r="O52" i="4"/>
  <c r="O76" i="4"/>
  <c r="O75" i="4"/>
  <c r="O54" i="4"/>
  <c r="O62" i="4"/>
  <c r="O72" i="4"/>
  <c r="O71" i="4"/>
  <c r="O67" i="4"/>
  <c r="T78" i="4"/>
  <c r="M60" i="4"/>
  <c r="T67" i="4"/>
  <c r="T79" i="4"/>
  <c r="Q74" i="4"/>
  <c r="T57" i="4"/>
  <c r="W64" i="4"/>
  <c r="P77" i="4"/>
  <c r="M80" i="4"/>
  <c r="M62" i="4"/>
  <c r="N7" i="9"/>
  <c r="M37" i="3"/>
  <c r="M19" i="9" s="1"/>
  <c r="M23" i="9" s="1"/>
  <c r="X37" i="3"/>
  <c r="X19" i="9"/>
  <c r="X23" i="9"/>
  <c r="S37" i="3"/>
  <c r="S6" i="5"/>
  <c r="T37" i="3"/>
  <c r="J12" i="5"/>
  <c r="W6" i="5"/>
  <c r="U37" i="3"/>
  <c r="L6" i="5"/>
  <c r="R6" i="5"/>
  <c r="R20" i="5" s="1"/>
  <c r="S20" i="9" s="1"/>
  <c r="V56" i="4"/>
  <c r="V52" i="4"/>
  <c r="V76" i="4"/>
  <c r="R70" i="4"/>
  <c r="R54" i="4"/>
  <c r="R76" i="4"/>
  <c r="R52" i="4"/>
  <c r="R51" i="4"/>
  <c r="U56" i="4"/>
  <c r="R62" i="4"/>
  <c r="V80" i="4"/>
  <c r="V66" i="4"/>
  <c r="R58" i="4"/>
  <c r="M31" i="3"/>
  <c r="P80" i="4"/>
  <c r="X78" i="4"/>
  <c r="X69" i="4"/>
  <c r="X73" i="4"/>
  <c r="T71" i="4"/>
  <c r="T53" i="4"/>
  <c r="J67" i="4"/>
  <c r="T65" i="4"/>
  <c r="T63" i="4"/>
  <c r="X55" i="4"/>
  <c r="T74" i="4"/>
  <c r="T55" i="4"/>
  <c r="T76" i="4"/>
  <c r="T68" i="4"/>
  <c r="X76" i="4"/>
  <c r="X67" i="4"/>
  <c r="Q66" i="4"/>
  <c r="Q62" i="4"/>
  <c r="T66" i="4"/>
  <c r="T56" i="4"/>
  <c r="T54" i="4"/>
  <c r="X64" i="4"/>
  <c r="T72" i="4"/>
  <c r="T51" i="4"/>
  <c r="T62" i="4"/>
  <c r="T52" i="4"/>
  <c r="N67" i="4"/>
  <c r="J52" i="4"/>
  <c r="T70" i="4"/>
  <c r="T61" i="4"/>
  <c r="N75" i="4"/>
  <c r="N56" i="4"/>
  <c r="J57" i="4"/>
  <c r="O64" i="4"/>
  <c r="Q55" i="4"/>
  <c r="Q61" i="4"/>
  <c r="X74" i="4"/>
  <c r="T77" i="4"/>
  <c r="X62" i="4"/>
  <c r="T60" i="4"/>
  <c r="P72" i="4"/>
  <c r="X79" i="4"/>
  <c r="Q65" i="4"/>
  <c r="P67" i="4"/>
  <c r="P64" i="4"/>
  <c r="P58" i="4"/>
  <c r="T64" i="4"/>
  <c r="X54" i="4"/>
  <c r="X51" i="4"/>
  <c r="Q71" i="4"/>
  <c r="Q79" i="4"/>
  <c r="T58" i="4"/>
  <c r="T75" i="4"/>
  <c r="X58" i="4"/>
  <c r="Q54" i="4"/>
  <c r="N51" i="4"/>
  <c r="J75" i="4"/>
  <c r="N79" i="4"/>
  <c r="J76" i="4"/>
  <c r="N61" i="4"/>
  <c r="N53" i="4"/>
  <c r="J55" i="4"/>
  <c r="J69" i="4"/>
  <c r="P51" i="4"/>
  <c r="Q59" i="4"/>
  <c r="Q58" i="4"/>
  <c r="R16" i="9"/>
  <c r="K9" i="5"/>
  <c r="K20" i="5" s="1"/>
  <c r="L20" i="9" s="1"/>
  <c r="L21" i="9" s="1"/>
  <c r="M52" i="4"/>
  <c r="M73" i="4"/>
  <c r="M74" i="4"/>
  <c r="N80" i="4"/>
  <c r="M71" i="4"/>
  <c r="W74" i="4"/>
  <c r="M77" i="4"/>
  <c r="N60" i="4"/>
  <c r="N58" i="4"/>
  <c r="M67" i="4"/>
  <c r="T41" i="4"/>
  <c r="S51" i="4"/>
  <c r="U69" i="4"/>
  <c r="M76" i="4"/>
  <c r="M63" i="4"/>
  <c r="Q75" i="4"/>
  <c r="Q69" i="4"/>
  <c r="M68" i="4"/>
  <c r="N64" i="4"/>
  <c r="N59" i="4"/>
  <c r="M54" i="4"/>
  <c r="J73" i="4"/>
  <c r="Q51" i="4"/>
  <c r="P61" i="4"/>
  <c r="M79" i="4"/>
  <c r="Q41" i="4"/>
  <c r="Q46" i="4" s="1"/>
  <c r="Q18" i="9" s="1"/>
  <c r="P54" i="4"/>
  <c r="U61" i="4"/>
  <c r="M69" i="4"/>
  <c r="M58" i="4"/>
  <c r="T69" i="4"/>
  <c r="Q80" i="4"/>
  <c r="M56" i="4"/>
  <c r="N78" i="4"/>
  <c r="J68" i="4"/>
  <c r="Q53" i="4"/>
  <c r="P41" i="4"/>
  <c r="P46" i="4" s="1"/>
  <c r="P18" i="9" s="1"/>
  <c r="U70" i="4"/>
  <c r="P55" i="4"/>
  <c r="U58" i="4"/>
  <c r="M55" i="4"/>
  <c r="M51" i="4"/>
  <c r="Q77" i="4"/>
  <c r="M64" i="4"/>
  <c r="W58" i="4"/>
  <c r="J80" i="4"/>
  <c r="N74" i="4"/>
  <c r="J59" i="4"/>
  <c r="Q52" i="4"/>
  <c r="W41" i="4"/>
  <c r="G6" i="5"/>
  <c r="G20" i="5" s="1"/>
  <c r="H20" i="9" s="1"/>
  <c r="H21" i="9" s="1"/>
  <c r="U63" i="4"/>
  <c r="M70" i="4"/>
  <c r="M65" i="4"/>
  <c r="W70" i="4"/>
  <c r="M53" i="4"/>
  <c r="N52" i="4"/>
  <c r="N65" i="4"/>
  <c r="M57" i="4"/>
  <c r="N76" i="4"/>
  <c r="U75" i="4"/>
  <c r="N69" i="4"/>
  <c r="U66" i="4"/>
  <c r="N68" i="4"/>
  <c r="M72" i="4"/>
  <c r="M75" i="4"/>
  <c r="K28" i="9"/>
  <c r="N11" i="9"/>
  <c r="F33" i="9"/>
  <c r="N16" i="9"/>
  <c r="L28" i="9"/>
  <c r="T28" i="9"/>
  <c r="S33" i="9"/>
  <c r="O33" i="9"/>
  <c r="M28" i="9"/>
  <c r="Q11" i="9"/>
  <c r="P28" i="9"/>
  <c r="S16" i="9"/>
  <c r="W11" i="9"/>
  <c r="S11" i="9"/>
  <c r="U11" i="9"/>
  <c r="M11" i="9"/>
  <c r="M16" i="9"/>
  <c r="O16" i="9"/>
  <c r="O28" i="9"/>
  <c r="U33" i="9"/>
  <c r="W33" i="9"/>
  <c r="W16" i="9"/>
  <c r="X16" i="9"/>
  <c r="L11" i="9"/>
  <c r="T11" i="9"/>
  <c r="X28" i="9"/>
  <c r="J33" i="9"/>
  <c r="J11" i="9"/>
  <c r="R11" i="9"/>
  <c r="F28" i="9"/>
  <c r="L33" i="9"/>
  <c r="R28" i="9"/>
  <c r="V28" i="9"/>
  <c r="X11" i="9"/>
  <c r="K31" i="3"/>
  <c r="T28" i="3"/>
  <c r="T33" i="3" s="1"/>
  <c r="T35" i="3" s="1"/>
  <c r="T32" i="3"/>
  <c r="T29" i="3"/>
  <c r="T31" i="3"/>
  <c r="K32" i="3"/>
  <c r="N6" i="5"/>
  <c r="L20" i="5"/>
  <c r="M20" i="9" s="1"/>
  <c r="M21" i="9" s="1"/>
  <c r="F6" i="5"/>
  <c r="S76" i="4"/>
  <c r="S58" i="4"/>
  <c r="S64" i="4"/>
  <c r="S56" i="4"/>
  <c r="S61" i="4"/>
  <c r="S75" i="4"/>
  <c r="S52" i="4"/>
  <c r="S68" i="4"/>
  <c r="S65" i="4"/>
  <c r="S70" i="4"/>
  <c r="S79" i="4"/>
  <c r="T16" i="9"/>
  <c r="T33" i="9"/>
  <c r="P6" i="5"/>
  <c r="P20" i="5" s="1"/>
  <c r="Q20" i="9" s="1"/>
  <c r="Q21" i="9" s="1"/>
  <c r="L79" i="4"/>
  <c r="L66" i="4"/>
  <c r="L76" i="4"/>
  <c r="L72" i="4"/>
  <c r="L55" i="4"/>
  <c r="L56" i="4"/>
  <c r="L60" i="4"/>
  <c r="L61" i="4"/>
  <c r="L65" i="4"/>
  <c r="L58" i="4"/>
  <c r="L64" i="4"/>
  <c r="L71" i="4"/>
  <c r="L68" i="4"/>
  <c r="L30" i="3"/>
  <c r="S57" i="4"/>
  <c r="K29" i="3"/>
  <c r="K30" i="3"/>
  <c r="L62" i="4"/>
  <c r="I33" i="9"/>
  <c r="J9" i="5"/>
  <c r="I9" i="5"/>
  <c r="G9" i="5"/>
  <c r="E28" i="9"/>
  <c r="K67" i="4"/>
  <c r="K72" i="4"/>
  <c r="K64" i="4"/>
  <c r="K71" i="4"/>
  <c r="S74" i="4"/>
  <c r="S63" i="4"/>
  <c r="P11" i="9"/>
  <c r="P33" i="9"/>
  <c r="L52" i="4"/>
  <c r="L67" i="4"/>
  <c r="S80" i="4"/>
  <c r="P30" i="3"/>
  <c r="K46" i="4"/>
  <c r="K18" i="9" s="1"/>
  <c r="V67" i="4"/>
  <c r="V51" i="4"/>
  <c r="V58" i="4"/>
  <c r="V79" i="4"/>
  <c r="V64" i="4"/>
  <c r="V62" i="4"/>
  <c r="V72" i="4"/>
  <c r="V74" i="4"/>
  <c r="V63" i="4"/>
  <c r="V53" i="4"/>
  <c r="V69" i="4"/>
  <c r="V65" i="4"/>
  <c r="V59" i="4"/>
  <c r="V77" i="4"/>
  <c r="R57" i="4"/>
  <c r="R68" i="4"/>
  <c r="R75" i="4"/>
  <c r="R67" i="4"/>
  <c r="R74" i="4"/>
  <c r="R61" i="4"/>
  <c r="R78" i="4"/>
  <c r="R77" i="4"/>
  <c r="R65" i="4"/>
  <c r="R64" i="4"/>
  <c r="R55" i="4"/>
  <c r="U79" i="4"/>
  <c r="R41" i="4"/>
  <c r="N63" i="4"/>
  <c r="P53" i="4"/>
  <c r="P75" i="4"/>
  <c r="N62" i="4"/>
  <c r="V54" i="4"/>
  <c r="R60" i="4"/>
  <c r="R66" i="4"/>
  <c r="N70" i="4"/>
  <c r="V71" i="4"/>
  <c r="V61" i="4"/>
  <c r="R59" i="4"/>
  <c r="V73" i="4"/>
  <c r="V60" i="4"/>
  <c r="U60" i="4"/>
  <c r="U55" i="4"/>
  <c r="U53" i="4"/>
  <c r="N72" i="4"/>
  <c r="N57" i="4"/>
  <c r="N71" i="4"/>
  <c r="N77" i="4"/>
  <c r="N66" i="4"/>
  <c r="N73" i="4"/>
  <c r="N54" i="4"/>
  <c r="V75" i="4"/>
  <c r="R56" i="4"/>
  <c r="V57" i="4"/>
  <c r="R71" i="4"/>
  <c r="P69" i="4"/>
  <c r="P52" i="4"/>
  <c r="P63" i="4"/>
  <c r="P70" i="4"/>
  <c r="P62" i="4"/>
  <c r="P78" i="4"/>
  <c r="P57" i="4"/>
  <c r="P56" i="4"/>
  <c r="P59" i="4"/>
  <c r="P71" i="4"/>
  <c r="P74" i="4"/>
  <c r="P66" i="4"/>
  <c r="P65" i="4"/>
  <c r="P60" i="4"/>
  <c r="P76" i="4"/>
  <c r="D6" i="5"/>
  <c r="K6" i="5"/>
  <c r="V78" i="4"/>
  <c r="V70" i="4"/>
  <c r="R80" i="4"/>
  <c r="R53" i="4"/>
  <c r="V68" i="4"/>
  <c r="R72" i="4"/>
  <c r="X31" i="3"/>
  <c r="Q28" i="3"/>
  <c r="W30" i="3"/>
  <c r="S19" i="9"/>
  <c r="S36" i="9" s="1"/>
  <c r="R19" i="9"/>
  <c r="R36" i="9" s="1"/>
  <c r="M29" i="3"/>
  <c r="M32" i="3"/>
  <c r="X32" i="3"/>
  <c r="T19" i="9"/>
  <c r="T36" i="9" s="1"/>
  <c r="N21" i="3"/>
  <c r="N13" i="9" s="1"/>
  <c r="N32" i="3"/>
  <c r="N33" i="3" s="1"/>
  <c r="N35" i="3" s="1"/>
  <c r="N37" i="3" s="1"/>
  <c r="N19" i="9" s="1"/>
  <c r="O32" i="3"/>
  <c r="L32" i="3"/>
  <c r="U29" i="3"/>
  <c r="O29" i="3"/>
  <c r="P21" i="3"/>
  <c r="P13" i="9" s="1"/>
  <c r="U28" i="3"/>
  <c r="V29" i="3"/>
  <c r="V32" i="3"/>
  <c r="U30" i="3"/>
  <c r="V31" i="3"/>
  <c r="O21" i="3"/>
  <c r="O13" i="9" s="1"/>
  <c r="S30" i="3"/>
  <c r="O28" i="3"/>
  <c r="V30" i="3"/>
  <c r="J31" i="3"/>
  <c r="L12" i="9"/>
  <c r="R23" i="9"/>
  <c r="W23" i="9"/>
  <c r="W32" i="3"/>
  <c r="W33" i="3" s="1"/>
  <c r="W35" i="3" s="1"/>
  <c r="R32" i="3"/>
  <c r="R33" i="3" s="1"/>
  <c r="R35" i="3" s="1"/>
  <c r="X28" i="3"/>
  <c r="X30" i="3"/>
  <c r="U19" i="9"/>
  <c r="U23" i="9" s="1"/>
  <c r="U29" i="9" s="1"/>
  <c r="S32" i="3"/>
  <c r="N29" i="3"/>
  <c r="J28" i="3"/>
  <c r="N30" i="3"/>
  <c r="W29" i="3"/>
  <c r="K21" i="3"/>
  <c r="K13" i="9"/>
  <c r="U31" i="3"/>
  <c r="R31" i="3"/>
  <c r="N28" i="3"/>
  <c r="R28" i="3"/>
  <c r="J21" i="3"/>
  <c r="J13" i="9"/>
  <c r="M8" i="9"/>
  <c r="R30" i="3"/>
  <c r="W28" i="3"/>
  <c r="S29" i="3"/>
  <c r="O31" i="3"/>
  <c r="J29" i="3"/>
  <c r="S28" i="3"/>
  <c r="Q37" i="3"/>
  <c r="Q19" i="9" s="1"/>
  <c r="U36" i="9"/>
  <c r="N20" i="5"/>
  <c r="O20" i="9" s="1"/>
  <c r="O21" i="9" s="1"/>
  <c r="W20" i="5"/>
  <c r="X20" i="9" s="1"/>
  <c r="U20" i="5"/>
  <c r="V20" i="9"/>
  <c r="V21" i="9" s="1"/>
  <c r="V22" i="9" s="1"/>
  <c r="S20" i="5"/>
  <c r="T20" i="9" s="1"/>
  <c r="V20" i="5"/>
  <c r="W20" i="9"/>
  <c r="W21" i="9" s="1"/>
  <c r="S21" i="9"/>
  <c r="S22" i="9" s="1"/>
  <c r="U30" i="9" l="1"/>
  <c r="U35" i="9" s="1"/>
  <c r="U37" i="9" s="1"/>
  <c r="U38" i="9" s="1"/>
  <c r="H9" i="5"/>
  <c r="E9" i="5"/>
  <c r="F9" i="5"/>
  <c r="F20" i="5" s="1"/>
  <c r="G20" i="9" s="1"/>
  <c r="G21" i="9" s="1"/>
  <c r="D9" i="5"/>
  <c r="K57" i="4"/>
  <c r="K70" i="4"/>
  <c r="K73" i="4"/>
  <c r="W79" i="4"/>
  <c r="W75" i="4"/>
  <c r="W65" i="4"/>
  <c r="J63" i="4"/>
  <c r="U72" i="4"/>
  <c r="W69" i="4"/>
  <c r="K33" i="9"/>
  <c r="L77" i="4"/>
  <c r="L63" i="4"/>
  <c r="K51" i="4"/>
  <c r="K52" i="4"/>
  <c r="K54" i="4"/>
  <c r="K80" i="4"/>
  <c r="L73" i="4"/>
  <c r="L70" i="4"/>
  <c r="L78" i="4"/>
  <c r="L80" i="4"/>
  <c r="K69" i="4"/>
  <c r="S67" i="4"/>
  <c r="S73" i="4"/>
  <c r="K33" i="3"/>
  <c r="K35" i="3" s="1"/>
  <c r="K37" i="3" s="1"/>
  <c r="K19" i="9" s="1"/>
  <c r="V33" i="9"/>
  <c r="W54" i="4"/>
  <c r="U80" i="4"/>
  <c r="W55" i="4"/>
  <c r="W57" i="4"/>
  <c r="W53" i="4"/>
  <c r="S77" i="4"/>
  <c r="W63" i="4"/>
  <c r="J60" i="4"/>
  <c r="X61" i="4"/>
  <c r="X57" i="4"/>
  <c r="J71" i="4"/>
  <c r="X75" i="4"/>
  <c r="X63" i="4"/>
  <c r="W68" i="4"/>
  <c r="U76" i="4"/>
  <c r="J66" i="4"/>
  <c r="X36" i="9"/>
  <c r="K55" i="4"/>
  <c r="K53" i="4"/>
  <c r="W76" i="4"/>
  <c r="X68" i="4"/>
  <c r="J61" i="4"/>
  <c r="J54" i="4"/>
  <c r="X60" i="4"/>
  <c r="X77" i="4"/>
  <c r="U64" i="4"/>
  <c r="X52" i="4"/>
  <c r="W66" i="4"/>
  <c r="E47" i="4"/>
  <c r="E17" i="9" s="1"/>
  <c r="J41" i="4"/>
  <c r="J46" i="4" s="1"/>
  <c r="J18" i="9" s="1"/>
  <c r="V19" i="9"/>
  <c r="X33" i="3"/>
  <c r="X35" i="3" s="1"/>
  <c r="K61" i="4"/>
  <c r="K78" i="4"/>
  <c r="S33" i="3"/>
  <c r="S35" i="3" s="1"/>
  <c r="S41" i="4"/>
  <c r="K56" i="4"/>
  <c r="K74" i="4"/>
  <c r="K75" i="4"/>
  <c r="L74" i="4"/>
  <c r="L54" i="4"/>
  <c r="L51" i="4"/>
  <c r="S59" i="4"/>
  <c r="S66" i="4"/>
  <c r="S69" i="4"/>
  <c r="V16" i="9"/>
  <c r="J72" i="4"/>
  <c r="W73" i="4"/>
  <c r="U51" i="4"/>
  <c r="U57" i="4"/>
  <c r="X41" i="4"/>
  <c r="U67" i="4"/>
  <c r="W77" i="4"/>
  <c r="X66" i="4"/>
  <c r="X56" i="4"/>
  <c r="J74" i="4"/>
  <c r="X70" i="4"/>
  <c r="U68" i="4"/>
  <c r="X71" i="4"/>
  <c r="R79" i="4"/>
  <c r="O60" i="4"/>
  <c r="O73" i="4"/>
  <c r="K41" i="4"/>
  <c r="K77" i="4"/>
  <c r="K62" i="4"/>
  <c r="K60" i="4"/>
  <c r="W72" i="4"/>
  <c r="W62" i="4"/>
  <c r="W51" i="4"/>
  <c r="W60" i="4"/>
  <c r="U33" i="3"/>
  <c r="U35" i="3" s="1"/>
  <c r="V33" i="3"/>
  <c r="V35" i="3" s="1"/>
  <c r="U78" i="4"/>
  <c r="S78" i="4"/>
  <c r="L57" i="4"/>
  <c r="K68" i="4"/>
  <c r="K76" i="4"/>
  <c r="K79" i="4"/>
  <c r="L53" i="4"/>
  <c r="L69" i="4"/>
  <c r="L59" i="4"/>
  <c r="L41" i="4"/>
  <c r="L46" i="4" s="1"/>
  <c r="L18" i="9" s="1"/>
  <c r="S60" i="4"/>
  <c r="S55" i="4"/>
  <c r="S71" i="4"/>
  <c r="U52" i="4"/>
  <c r="W71" i="4"/>
  <c r="U62" i="4"/>
  <c r="W52" i="4"/>
  <c r="X80" i="4"/>
  <c r="W78" i="4"/>
  <c r="U54" i="4"/>
  <c r="U77" i="4"/>
  <c r="W59" i="4"/>
  <c r="J65" i="4"/>
  <c r="J70" i="4"/>
  <c r="U65" i="4"/>
  <c r="O77" i="4"/>
  <c r="O68" i="4"/>
  <c r="X65" i="4"/>
  <c r="K66" i="4"/>
  <c r="K63" i="4"/>
  <c r="K59" i="4"/>
  <c r="S54" i="4"/>
  <c r="S62" i="4"/>
  <c r="S72" i="4"/>
  <c r="J16" i="9"/>
  <c r="U59" i="4"/>
  <c r="U73" i="4"/>
  <c r="J58" i="4"/>
  <c r="J78" i="4"/>
  <c r="J51" i="4"/>
  <c r="X59" i="4"/>
  <c r="J53" i="4"/>
  <c r="U74" i="4"/>
  <c r="O78" i="4"/>
  <c r="X72" i="4"/>
  <c r="O56" i="4"/>
  <c r="E75" i="4"/>
  <c r="E54" i="4"/>
  <c r="I21" i="3"/>
  <c r="I13" i="9" s="1"/>
  <c r="I31" i="3"/>
  <c r="I30" i="3"/>
  <c r="I32" i="3"/>
  <c r="I29" i="3"/>
  <c r="I47" i="4"/>
  <c r="I17" i="9" s="1"/>
  <c r="I52" i="4"/>
  <c r="I79" i="4"/>
  <c r="I62" i="4"/>
  <c r="I56" i="4"/>
  <c r="I55" i="4"/>
  <c r="I66" i="4"/>
  <c r="I77" i="4"/>
  <c r="I70" i="4"/>
  <c r="I75" i="4"/>
  <c r="I59" i="4"/>
  <c r="I53" i="4"/>
  <c r="I51" i="4"/>
  <c r="I61" i="4"/>
  <c r="I63" i="4"/>
  <c r="I71" i="4"/>
  <c r="I73" i="4"/>
  <c r="I69" i="4"/>
  <c r="I80" i="4"/>
  <c r="I60" i="4"/>
  <c r="I54" i="4"/>
  <c r="I41" i="4"/>
  <c r="I46" i="4" s="1"/>
  <c r="I18" i="9" s="1"/>
  <c r="I76" i="4"/>
  <c r="I68" i="4"/>
  <c r="I67" i="4"/>
  <c r="I57" i="4"/>
  <c r="I58" i="4"/>
  <c r="I64" i="4"/>
  <c r="I65" i="4"/>
  <c r="I72" i="4"/>
  <c r="I74" i="4"/>
  <c r="I11" i="9"/>
  <c r="H30" i="3"/>
  <c r="E66" i="4"/>
  <c r="F29" i="3"/>
  <c r="F32" i="3"/>
  <c r="F30" i="3"/>
  <c r="F31" i="3"/>
  <c r="G21" i="3"/>
  <c r="G13" i="9" s="1"/>
  <c r="D20" i="5"/>
  <c r="E20" i="9" s="1"/>
  <c r="E21" i="9" s="1"/>
  <c r="E71" i="4"/>
  <c r="E55" i="4"/>
  <c r="E52" i="4"/>
  <c r="E80" i="4"/>
  <c r="E67" i="4"/>
  <c r="F47" i="4"/>
  <c r="F17" i="9" s="1"/>
  <c r="F70" i="4"/>
  <c r="F66" i="4"/>
  <c r="F41" i="4"/>
  <c r="F46" i="4" s="1"/>
  <c r="F18" i="9" s="1"/>
  <c r="F74" i="4"/>
  <c r="F73" i="4"/>
  <c r="F59" i="4"/>
  <c r="F60" i="4"/>
  <c r="F79" i="4"/>
  <c r="F58" i="4"/>
  <c r="F62" i="4"/>
  <c r="F56" i="4"/>
  <c r="F51" i="4"/>
  <c r="F63" i="4"/>
  <c r="F80" i="4"/>
  <c r="F53" i="4"/>
  <c r="F69" i="4"/>
  <c r="F54" i="4"/>
  <c r="F64" i="4"/>
  <c r="F67" i="4"/>
  <c r="F72" i="4"/>
  <c r="F52" i="4"/>
  <c r="F55" i="4"/>
  <c r="F65" i="4"/>
  <c r="E73" i="4"/>
  <c r="E59" i="4"/>
  <c r="E77" i="4"/>
  <c r="E72" i="4"/>
  <c r="E76" i="4"/>
  <c r="E11" i="9"/>
  <c r="G61" i="4"/>
  <c r="G65" i="4"/>
  <c r="G74" i="4"/>
  <c r="G69" i="4"/>
  <c r="G57" i="4"/>
  <c r="G53" i="4"/>
  <c r="G77" i="4"/>
  <c r="G67" i="4"/>
  <c r="G41" i="4"/>
  <c r="G55" i="4"/>
  <c r="G76" i="4"/>
  <c r="G59" i="4"/>
  <c r="G80" i="4"/>
  <c r="G54" i="4"/>
  <c r="G72" i="4"/>
  <c r="G60" i="4"/>
  <c r="G75" i="4"/>
  <c r="G70" i="4"/>
  <c r="G11" i="9"/>
  <c r="G79" i="4"/>
  <c r="G51" i="4"/>
  <c r="G56" i="4"/>
  <c r="G66" i="4"/>
  <c r="G16" i="9"/>
  <c r="G73" i="4"/>
  <c r="G62" i="4"/>
  <c r="G71" i="4"/>
  <c r="G33" i="9"/>
  <c r="G68" i="4"/>
  <c r="G58" i="4"/>
  <c r="G78" i="4"/>
  <c r="G52" i="4"/>
  <c r="G46" i="4"/>
  <c r="G18" i="9" s="1"/>
  <c r="G47" i="4"/>
  <c r="G17" i="9" s="1"/>
  <c r="E29" i="3"/>
  <c r="E28" i="3"/>
  <c r="E32" i="3"/>
  <c r="E31" i="3"/>
  <c r="E65" i="4"/>
  <c r="E58" i="4"/>
  <c r="E69" i="4"/>
  <c r="E79" i="4"/>
  <c r="E62" i="4"/>
  <c r="E53" i="4"/>
  <c r="E70" i="4"/>
  <c r="E57" i="4"/>
  <c r="E51" i="4"/>
  <c r="E56" i="4"/>
  <c r="F11" i="9"/>
  <c r="H21" i="3"/>
  <c r="H13" i="9" s="1"/>
  <c r="H29" i="3"/>
  <c r="H32" i="3"/>
  <c r="H28" i="3"/>
  <c r="H47" i="4"/>
  <c r="H17" i="9" s="1"/>
  <c r="H77" i="4"/>
  <c r="H72" i="4"/>
  <c r="H55" i="4"/>
  <c r="H71" i="4"/>
  <c r="H57" i="4"/>
  <c r="H66" i="4"/>
  <c r="H74" i="4"/>
  <c r="H68" i="4"/>
  <c r="H33" i="9"/>
  <c r="H16" i="9"/>
  <c r="E21" i="3"/>
  <c r="E13" i="9" s="1"/>
  <c r="E61" i="4"/>
  <c r="E63" i="4"/>
  <c r="E74" i="4"/>
  <c r="E78" i="4"/>
  <c r="E68" i="4"/>
  <c r="E64" i="4"/>
  <c r="E41" i="4"/>
  <c r="E46" i="4" s="1"/>
  <c r="E18" i="9" s="1"/>
  <c r="F21" i="3"/>
  <c r="F13" i="9" s="1"/>
  <c r="M22" i="9"/>
  <c r="M30" i="9" s="1"/>
  <c r="Q22" i="9"/>
  <c r="G29" i="3"/>
  <c r="G31" i="3"/>
  <c r="G28" i="3"/>
  <c r="G30" i="3"/>
  <c r="Q12" i="9"/>
  <c r="M30" i="3"/>
  <c r="M33" i="3" s="1"/>
  <c r="M35" i="3" s="1"/>
  <c r="P31" i="3"/>
  <c r="L31" i="3"/>
  <c r="L33" i="3" s="1"/>
  <c r="L35" i="3" s="1"/>
  <c r="L37" i="3" s="1"/>
  <c r="L19" i="9" s="1"/>
  <c r="Q30" i="3"/>
  <c r="P28" i="3"/>
  <c r="M36" i="9"/>
  <c r="Q32" i="3"/>
  <c r="P29" i="3"/>
  <c r="L28" i="3"/>
  <c r="Q31" i="3"/>
  <c r="G63" i="4"/>
  <c r="F57" i="4"/>
  <c r="F68" i="4"/>
  <c r="F61" i="4"/>
  <c r="F76" i="4"/>
  <c r="F75" i="4"/>
  <c r="F78" i="4"/>
  <c r="F77" i="4"/>
  <c r="H73" i="4"/>
  <c r="H60" i="4"/>
  <c r="H79" i="4"/>
  <c r="H63" i="4"/>
  <c r="H76" i="4"/>
  <c r="H70" i="4"/>
  <c r="H52" i="4"/>
  <c r="H64" i="4"/>
  <c r="H65" i="4"/>
  <c r="H75" i="4"/>
  <c r="H41" i="4"/>
  <c r="H46" i="4" s="1"/>
  <c r="H18" i="9" s="1"/>
  <c r="H11" i="9"/>
  <c r="I28" i="9"/>
  <c r="K11" i="9"/>
  <c r="H51" i="4"/>
  <c r="H61" i="4"/>
  <c r="H54" i="4"/>
  <c r="H56" i="4"/>
  <c r="H69" i="4"/>
  <c r="H59" i="4"/>
  <c r="H53" i="4"/>
  <c r="H58" i="4"/>
  <c r="H62" i="4"/>
  <c r="H67" i="4"/>
  <c r="H78" i="4"/>
  <c r="E33" i="9"/>
  <c r="Q16" i="9"/>
  <c r="Q28" i="9"/>
  <c r="O22" i="9"/>
  <c r="Q63" i="4"/>
  <c r="Q60" i="4"/>
  <c r="Q70" i="4"/>
  <c r="Q73" i="4"/>
  <c r="Q57" i="4"/>
  <c r="Q67" i="4"/>
  <c r="Q56" i="4"/>
  <c r="Q68" i="4"/>
  <c r="Q64" i="4"/>
  <c r="Q36" i="9"/>
  <c r="Q23" i="9"/>
  <c r="K36" i="9"/>
  <c r="K23" i="9"/>
  <c r="T21" i="9"/>
  <c r="T22" i="9" s="1"/>
  <c r="N23" i="9"/>
  <c r="N36" i="9"/>
  <c r="R30" i="9"/>
  <c r="R35" i="9" s="1"/>
  <c r="R37" i="9" s="1"/>
  <c r="R38" i="9" s="1"/>
  <c r="X21" i="9"/>
  <c r="X22" i="9" s="1"/>
  <c r="W22" i="9"/>
  <c r="O33" i="3"/>
  <c r="O35" i="3" s="1"/>
  <c r="O37" i="3" s="1"/>
  <c r="O19" i="9" s="1"/>
  <c r="L22" i="9"/>
  <c r="J6" i="5"/>
  <c r="J20" i="5" s="1"/>
  <c r="K20" i="9" s="1"/>
  <c r="K21" i="9" s="1"/>
  <c r="H6" i="5"/>
  <c r="H20" i="5" s="1"/>
  <c r="I20" i="9" s="1"/>
  <c r="I21" i="9" s="1"/>
  <c r="E6" i="5"/>
  <c r="E20" i="5" s="1"/>
  <c r="F20" i="9" s="1"/>
  <c r="F21" i="9" s="1"/>
  <c r="I6" i="5"/>
  <c r="I20" i="5" s="1"/>
  <c r="J20" i="9" s="1"/>
  <c r="O6" i="5"/>
  <c r="O20" i="5" s="1"/>
  <c r="P20" i="9" s="1"/>
  <c r="M6" i="5"/>
  <c r="M20" i="5" s="1"/>
  <c r="N20" i="9" s="1"/>
  <c r="T23" i="9"/>
  <c r="S23" i="9"/>
  <c r="J30" i="3"/>
  <c r="J33" i="3" s="1"/>
  <c r="J35" i="3" s="1"/>
  <c r="J37" i="3" s="1"/>
  <c r="J19" i="9" s="1"/>
  <c r="P79" i="4"/>
  <c r="P73" i="4"/>
  <c r="U71" i="4"/>
  <c r="M59" i="4"/>
  <c r="M78" i="4"/>
  <c r="J62" i="4"/>
  <c r="J64" i="4"/>
  <c r="K65" i="4"/>
  <c r="U16" i="9"/>
  <c r="M66" i="4"/>
  <c r="M61" i="4"/>
  <c r="Q72" i="4"/>
  <c r="W80" i="4"/>
  <c r="W67" i="4"/>
  <c r="O53" i="4"/>
  <c r="O61" i="4"/>
  <c r="J77" i="4"/>
  <c r="O55" i="4"/>
  <c r="J56" i="4"/>
  <c r="O63" i="4"/>
  <c r="O70" i="4"/>
  <c r="V36" i="9" l="1"/>
  <c r="V23" i="9"/>
  <c r="P33" i="3"/>
  <c r="P35" i="3" s="1"/>
  <c r="P37" i="3" s="1"/>
  <c r="P19" i="9" s="1"/>
  <c r="I33" i="3"/>
  <c r="I35" i="3" s="1"/>
  <c r="I37" i="3" s="1"/>
  <c r="I19" i="9" s="1"/>
  <c r="I23" i="9" s="1"/>
  <c r="G33" i="3"/>
  <c r="G35" i="3" s="1"/>
  <c r="G37" i="3" s="1"/>
  <c r="G19" i="9" s="1"/>
  <c r="G23" i="9" s="1"/>
  <c r="F33" i="3"/>
  <c r="F35" i="3" s="1"/>
  <c r="F37" i="3" s="1"/>
  <c r="F19" i="9" s="1"/>
  <c r="F23" i="9" s="1"/>
  <c r="G22" i="9"/>
  <c r="D80" i="4"/>
  <c r="D75" i="4"/>
  <c r="D60" i="4"/>
  <c r="D55" i="4"/>
  <c r="D51" i="4"/>
  <c r="D69" i="4"/>
  <c r="D58" i="4"/>
  <c r="D54" i="4"/>
  <c r="D52" i="4"/>
  <c r="E22" i="9"/>
  <c r="E33" i="3"/>
  <c r="E35" i="3" s="1"/>
  <c r="E37" i="3" s="1"/>
  <c r="E19" i="9" s="1"/>
  <c r="E36" i="9" s="1"/>
  <c r="D57" i="4"/>
  <c r="H33" i="3"/>
  <c r="H35" i="3" s="1"/>
  <c r="H37" i="3" s="1"/>
  <c r="H19" i="9" s="1"/>
  <c r="H22" i="9"/>
  <c r="D72" i="4"/>
  <c r="D65" i="4"/>
  <c r="D59" i="4"/>
  <c r="D53" i="4"/>
  <c r="D71" i="4"/>
  <c r="D77" i="4"/>
  <c r="D64" i="4"/>
  <c r="D66" i="4"/>
  <c r="D74" i="4"/>
  <c r="D62" i="4"/>
  <c r="D79" i="4"/>
  <c r="D76" i="4"/>
  <c r="D63" i="4"/>
  <c r="D78" i="4"/>
  <c r="D68" i="4"/>
  <c r="M29" i="9"/>
  <c r="M35" i="9" s="1"/>
  <c r="M37" i="9" s="1"/>
  <c r="M38" i="9" s="1"/>
  <c r="L36" i="9"/>
  <c r="L23" i="9"/>
  <c r="Q33" i="3"/>
  <c r="Q35" i="3" s="1"/>
  <c r="D56" i="4"/>
  <c r="D61" i="4"/>
  <c r="D67" i="4"/>
  <c r="D73" i="4"/>
  <c r="D70" i="4"/>
  <c r="X30" i="9"/>
  <c r="X29" i="9"/>
  <c r="J23" i="9"/>
  <c r="J36" i="9"/>
  <c r="I22" i="9"/>
  <c r="Q29" i="9"/>
  <c r="Q30" i="9"/>
  <c r="O36" i="9"/>
  <c r="O23" i="9"/>
  <c r="L29" i="9"/>
  <c r="L30" i="9"/>
  <c r="F22" i="9"/>
  <c r="P21" i="9"/>
  <c r="P22" i="9"/>
  <c r="W30" i="9"/>
  <c r="W29" i="9"/>
  <c r="P36" i="9"/>
  <c r="P23" i="9"/>
  <c r="N21" i="9"/>
  <c r="N22" i="9" s="1"/>
  <c r="N30" i="9" s="1"/>
  <c r="S30" i="9"/>
  <c r="S35" i="9" s="1"/>
  <c r="S37" i="9" s="1"/>
  <c r="S38" i="9" s="1"/>
  <c r="S29" i="9"/>
  <c r="K22" i="9"/>
  <c r="K29" i="9" s="1"/>
  <c r="T29" i="9"/>
  <c r="T30" i="9"/>
  <c r="T35" i="9" s="1"/>
  <c r="T37" i="9" s="1"/>
  <c r="T38" i="9" s="1"/>
  <c r="J21" i="9"/>
  <c r="J22" i="9" s="1"/>
  <c r="V29" i="9" l="1"/>
  <c r="V30" i="9"/>
  <c r="W35" i="9"/>
  <c r="W37" i="9" s="1"/>
  <c r="W38" i="9" s="1"/>
  <c r="G29" i="9"/>
  <c r="I29" i="9"/>
  <c r="I36" i="9"/>
  <c r="G36" i="9"/>
  <c r="F36" i="9"/>
  <c r="E23" i="9"/>
  <c r="E29" i="9" s="1"/>
  <c r="H36" i="9"/>
  <c r="H23" i="9"/>
  <c r="H29" i="9" s="1"/>
  <c r="F30" i="9"/>
  <c r="G30" i="9"/>
  <c r="I30" i="9"/>
  <c r="P29" i="9"/>
  <c r="P30" i="9"/>
  <c r="N29" i="9"/>
  <c r="N35" i="9" s="1"/>
  <c r="N37" i="9" s="1"/>
  <c r="N38" i="9" s="1"/>
  <c r="O29" i="9"/>
  <c r="O30" i="9"/>
  <c r="K30" i="9"/>
  <c r="K35" i="9" s="1"/>
  <c r="K37" i="9" s="1"/>
  <c r="K38" i="9" s="1"/>
  <c r="J29" i="9"/>
  <c r="J30" i="9"/>
  <c r="F29" i="9"/>
  <c r="L35" i="9"/>
  <c r="L37" i="9" s="1"/>
  <c r="L38" i="9" s="1"/>
  <c r="Q35" i="9"/>
  <c r="Q37" i="9" s="1"/>
  <c r="Q38" i="9" s="1"/>
  <c r="X35" i="9"/>
  <c r="X37" i="9" s="1"/>
  <c r="X38" i="9" s="1"/>
  <c r="V35" i="9" l="1"/>
  <c r="V37" i="9" s="1"/>
  <c r="V38" i="9" s="1"/>
  <c r="G35" i="9"/>
  <c r="G37" i="9" s="1"/>
  <c r="G38" i="9" s="1"/>
  <c r="I35" i="9"/>
  <c r="I37" i="9" s="1"/>
  <c r="I38" i="9" s="1"/>
  <c r="E30" i="9"/>
  <c r="E35" i="9" s="1"/>
  <c r="E37" i="9" s="1"/>
  <c r="E38" i="9" s="1"/>
  <c r="H30" i="9"/>
  <c r="H35" i="9" s="1"/>
  <c r="H37" i="9" s="1"/>
  <c r="H38" i="9" s="1"/>
  <c r="F35" i="9"/>
  <c r="F37" i="9" s="1"/>
  <c r="F38" i="9" s="1"/>
  <c r="P35" i="9"/>
  <c r="P37" i="9" s="1"/>
  <c r="P38" i="9" s="1"/>
  <c r="J35" i="9"/>
  <c r="J37" i="9" s="1"/>
  <c r="J38" i="9" s="1"/>
  <c r="O35" i="9"/>
  <c r="O37" i="9" s="1"/>
  <c r="O38" i="9" s="1"/>
</calcChain>
</file>

<file path=xl/sharedStrings.xml><?xml version="1.0" encoding="utf-8"?>
<sst xmlns="http://schemas.openxmlformats.org/spreadsheetml/2006/main" count="670" uniqueCount="394">
  <si>
    <t>Náklady na pořízení vozidel</t>
  </si>
  <si>
    <t>DATA</t>
  </si>
  <si>
    <t>Postup výpočtu</t>
  </si>
  <si>
    <t>Druh vlaku</t>
  </si>
  <si>
    <t>Druh ceny</t>
  </si>
  <si>
    <t>Jednotka výkonu</t>
  </si>
  <si>
    <t>Cena v Kč</t>
  </si>
  <si>
    <t>vlkm</t>
  </si>
  <si>
    <t>1 000 hrtkm</t>
  </si>
  <si>
    <t>1 000 hrtkm</t>
  </si>
  <si>
    <t>Trakce</t>
  </si>
  <si>
    <t>Hrubá hmotnost vlaku</t>
  </si>
  <si>
    <t>Náklady na dopravní cestu celkem</t>
  </si>
  <si>
    <t>[t]</t>
  </si>
  <si>
    <t>[km]</t>
  </si>
  <si>
    <t>[%]</t>
  </si>
  <si>
    <t>[Kč]</t>
  </si>
  <si>
    <t>vlak1</t>
  </si>
  <si>
    <t>vlak2</t>
  </si>
  <si>
    <t>vlak3</t>
  </si>
  <si>
    <t>vlak4</t>
  </si>
  <si>
    <t>vlak5</t>
  </si>
  <si>
    <t>vlak6</t>
  </si>
  <si>
    <t>vlak7</t>
  </si>
  <si>
    <t>vlak8</t>
  </si>
  <si>
    <t>vlak9</t>
  </si>
  <si>
    <t>vlak10</t>
  </si>
  <si>
    <t>vlak11</t>
  </si>
  <si>
    <t>vlak12</t>
  </si>
  <si>
    <t>vlak13</t>
  </si>
  <si>
    <t>vlak14</t>
  </si>
  <si>
    <t>vlak15</t>
  </si>
  <si>
    <t>vlak16</t>
  </si>
  <si>
    <t>vlak17</t>
  </si>
  <si>
    <t>vlak18</t>
  </si>
  <si>
    <t>vlak19</t>
  </si>
  <si>
    <t>vlak20</t>
  </si>
  <si>
    <t>Délka jízdy</t>
  </si>
  <si>
    <t>[kWh]</t>
  </si>
  <si>
    <t>Typ vozidla</t>
  </si>
  <si>
    <t>[ks]</t>
  </si>
  <si>
    <t>[mil.Kč/ks]</t>
  </si>
  <si>
    <t>[let]</t>
  </si>
  <si>
    <t>[mil.Kč]</t>
  </si>
  <si>
    <t>Profese 1</t>
  </si>
  <si>
    <t>Počet zaměstnanců</t>
  </si>
  <si>
    <t>[osob]</t>
  </si>
  <si>
    <t>Celkové obchodní náklady</t>
  </si>
  <si>
    <t>Náklady na ŽDC</t>
  </si>
  <si>
    <t>Náklady na mzdy</t>
  </si>
  <si>
    <t>Jiné neuvedené náklady</t>
  </si>
  <si>
    <t>Obchodní marže</t>
  </si>
  <si>
    <t>Náklady na správu a režii</t>
  </si>
  <si>
    <t>Název vlaku</t>
  </si>
  <si>
    <t>Sestavení vlaku</t>
  </si>
  <si>
    <t>Obsazení vlaku personálem</t>
  </si>
  <si>
    <t>Rekapitulace výsledků</t>
  </si>
  <si>
    <t>Nastavení odvozených nákladů</t>
  </si>
  <si>
    <t>Celkem trakční energie</t>
  </si>
  <si>
    <t>%</t>
  </si>
  <si>
    <t>Hodinové náklady profese</t>
  </si>
  <si>
    <t>[Kč/hod]</t>
  </si>
  <si>
    <t>1.rok</t>
  </si>
  <si>
    <t>2.rok</t>
  </si>
  <si>
    <t>3.rok</t>
  </si>
  <si>
    <t>4.rok</t>
  </si>
  <si>
    <t>5.rok</t>
  </si>
  <si>
    <t>6.rok</t>
  </si>
  <si>
    <t>7.rok</t>
  </si>
  <si>
    <t>8.rok</t>
  </si>
  <si>
    <t>9.rok</t>
  </si>
  <si>
    <t>10.rok</t>
  </si>
  <si>
    <t>11.rok</t>
  </si>
  <si>
    <t>12.rok</t>
  </si>
  <si>
    <t>13.rok</t>
  </si>
  <si>
    <t>14.rok</t>
  </si>
  <si>
    <t>15.rok</t>
  </si>
  <si>
    <t>16.rok</t>
  </si>
  <si>
    <t>17.rok</t>
  </si>
  <si>
    <t>18.rok</t>
  </si>
  <si>
    <t>19.rok</t>
  </si>
  <si>
    <t>20.rok</t>
  </si>
  <si>
    <t>21.rok</t>
  </si>
  <si>
    <t>22.rok</t>
  </si>
  <si>
    <t>23.rok</t>
  </si>
  <si>
    <t>24.rok</t>
  </si>
  <si>
    <t>25.rok</t>
  </si>
  <si>
    <t>26.rok</t>
  </si>
  <si>
    <t>27.rok</t>
  </si>
  <si>
    <t>28.rok</t>
  </si>
  <si>
    <t>29.rok</t>
  </si>
  <si>
    <t>30.rok</t>
  </si>
  <si>
    <t>Poměr údržby a oprav</t>
  </si>
  <si>
    <t>Pořizovací náklady vozidla</t>
  </si>
  <si>
    <t>Pořizovací náklady vlaku</t>
  </si>
  <si>
    <t>Počet vozidel ve vlaku</t>
  </si>
  <si>
    <t>Roční náklady na údržbu a opravy</t>
  </si>
  <si>
    <t>Doba odepisování / počet splátek</t>
  </si>
  <si>
    <t>CELKEM</t>
  </si>
  <si>
    <r>
      <t>S</t>
    </r>
    <r>
      <rPr>
        <vertAlign val="subscript"/>
        <sz val="8"/>
        <rFont val="Arial"/>
        <family val="2"/>
        <charset val="238"/>
      </rPr>
      <t>1E</t>
    </r>
  </si>
  <si>
    <r>
      <t>S</t>
    </r>
    <r>
      <rPr>
        <vertAlign val="subscript"/>
        <sz val="8"/>
        <rFont val="Arial"/>
        <family val="2"/>
        <charset val="238"/>
      </rPr>
      <t>1C</t>
    </r>
  </si>
  <si>
    <r>
      <t>S</t>
    </r>
    <r>
      <rPr>
        <vertAlign val="subscript"/>
        <sz val="8"/>
        <rFont val="Arial"/>
        <family val="2"/>
        <charset val="238"/>
      </rPr>
      <t>1R</t>
    </r>
  </si>
  <si>
    <r>
      <t>S</t>
    </r>
    <r>
      <rPr>
        <vertAlign val="subscript"/>
        <sz val="8"/>
        <rFont val="Arial"/>
        <family val="2"/>
        <charset val="238"/>
      </rPr>
      <t>2E</t>
    </r>
  </si>
  <si>
    <r>
      <t>S</t>
    </r>
    <r>
      <rPr>
        <vertAlign val="subscript"/>
        <sz val="8"/>
        <rFont val="Arial"/>
        <family val="2"/>
        <charset val="238"/>
      </rPr>
      <t>2C</t>
    </r>
  </si>
  <si>
    <r>
      <t>S</t>
    </r>
    <r>
      <rPr>
        <vertAlign val="subscript"/>
        <sz val="8"/>
        <rFont val="Arial"/>
        <family val="2"/>
        <charset val="238"/>
      </rPr>
      <t>2R</t>
    </r>
  </si>
  <si>
    <t xml:space="preserve">Základní ceny za použití dráhy </t>
  </si>
  <si>
    <t>pro jízdu vlaku osobní dopravy</t>
  </si>
  <si>
    <t>pro jízdu vlaku nákladní dopravy</t>
  </si>
  <si>
    <t>Strojvedoucí lokomotiv, vlaků</t>
  </si>
  <si>
    <t>Průvodčí vlaků v osobní dopravě</t>
  </si>
  <si>
    <t>Vlakvedoucí v nákladní dopravě</t>
  </si>
  <si>
    <t>Hrubá měsíční mzda</t>
  </si>
  <si>
    <t xml:space="preserve">Stevardi, obslužní pracovníci </t>
  </si>
  <si>
    <t>Měsíční náklady profese</t>
  </si>
  <si>
    <t>Podíl v měs. nákladech</t>
  </si>
  <si>
    <t>Kč/měs.</t>
  </si>
  <si>
    <t>Produktivní podíl práce</t>
  </si>
  <si>
    <t>Fond prac.doby</t>
  </si>
  <si>
    <t>hod./měs.</t>
  </si>
  <si>
    <t>Zkrácený název profese</t>
  </si>
  <si>
    <t>průvodčí</t>
  </si>
  <si>
    <t>Náklady na vlakový personál</t>
  </si>
  <si>
    <t>Celkem mzdové náklady</t>
  </si>
  <si>
    <t>Mzdové náklady</t>
  </si>
  <si>
    <t xml:space="preserve">pracovníků dopravce podílejících se přímo na jízdě vlaku </t>
  </si>
  <si>
    <t>.</t>
  </si>
  <si>
    <t>obsluha os.vl.</t>
  </si>
  <si>
    <t>vlakved.nákl.vl.</t>
  </si>
  <si>
    <t>Profese 2</t>
  </si>
  <si>
    <t>Profese 3</t>
  </si>
  <si>
    <t>Profese 4</t>
  </si>
  <si>
    <t>Profese 5</t>
  </si>
  <si>
    <t>[mil.Kč/rok]</t>
  </si>
  <si>
    <t>Stupeň sklonové náročnosti tratě</t>
  </si>
  <si>
    <t>Stupeň počtu zastavování</t>
  </si>
  <si>
    <t>Pořízení a provozuschopnost ŽKV</t>
  </si>
  <si>
    <t>Výpočet nákladů na jízdu vlaku</t>
  </si>
  <si>
    <t>Výpočet nákladů na vlakovou četu</t>
  </si>
  <si>
    <t>Parametry vlaku pro jízdu</t>
  </si>
  <si>
    <t>osobní</t>
  </si>
  <si>
    <t>nákladní</t>
  </si>
  <si>
    <t>motorová</t>
  </si>
  <si>
    <t>elektrická</t>
  </si>
  <si>
    <t>hybridní</t>
  </si>
  <si>
    <t>Kč/kWh</t>
  </si>
  <si>
    <t>[Kč/km]</t>
  </si>
  <si>
    <t>Průměrné měrné náklady na ŽDC</t>
  </si>
  <si>
    <t>Jízda</t>
  </si>
  <si>
    <t>Ekonomické náklady na pořízení, údržbu a opravy vlaku</t>
  </si>
  <si>
    <t>Přepočet na běžnou hodinu</t>
  </si>
  <si>
    <t>Údržba a opravy</t>
  </si>
  <si>
    <t>Přepočet na provozní hodinu (jízdy)</t>
  </si>
  <si>
    <t>[Kč/vlhod]</t>
  </si>
  <si>
    <t>Náklady na energii</t>
  </si>
  <si>
    <t>Náklady na údržbu a opravy vozidel</t>
  </si>
  <si>
    <t>[Kč/vlkm]</t>
  </si>
  <si>
    <t>[km/h]</t>
  </si>
  <si>
    <t>List</t>
  </si>
  <si>
    <t>Parametry jízdy vlaku</t>
  </si>
  <si>
    <t>SOUHRN PN VLAKŮ</t>
  </si>
  <si>
    <t>Nastavení parametrů výpočtu</t>
  </si>
  <si>
    <t>Stadler</t>
  </si>
  <si>
    <t>Vectron</t>
  </si>
  <si>
    <t>Kč/vlhod</t>
  </si>
  <si>
    <t>Kategorie</t>
  </si>
  <si>
    <t>Pořizovací náklady</t>
  </si>
  <si>
    <t>Max. rychlost</t>
  </si>
  <si>
    <t>Řada</t>
  </si>
  <si>
    <t>Regio Shuttle RS1</t>
  </si>
  <si>
    <t>Motorový vůz</t>
  </si>
  <si>
    <t>Popis</t>
  </si>
  <si>
    <t>Jednovozová motorová jednotka pro cca 70 sedících a 95 stojících cestujících</t>
  </si>
  <si>
    <t>komentář</t>
  </si>
  <si>
    <t>Hmotnost vozidla</t>
  </si>
  <si>
    <t>RegioShark</t>
  </si>
  <si>
    <t>Délka</t>
  </si>
  <si>
    <t>[m]</t>
  </si>
  <si>
    <t>PESA</t>
  </si>
  <si>
    <t>Dvoudílná motorová jednotka pro cca 120 sedících a 120 stojících cestujících</t>
  </si>
  <si>
    <t>2x390</t>
  </si>
  <si>
    <t>[kW]</t>
  </si>
  <si>
    <t>Výkon</t>
  </si>
  <si>
    <t>2x265</t>
  </si>
  <si>
    <t>RegioPanter/2</t>
  </si>
  <si>
    <t>RegioPanter/3</t>
  </si>
  <si>
    <t>CityElefant</t>
  </si>
  <si>
    <t>471+071+971</t>
  </si>
  <si>
    <t>VR jednotka</t>
  </si>
  <si>
    <t>Osobní vůz</t>
  </si>
  <si>
    <t>El. jednotka</t>
  </si>
  <si>
    <t>El. lokomotiva</t>
  </si>
  <si>
    <t>A</t>
  </si>
  <si>
    <t>B</t>
  </si>
  <si>
    <t>WR</t>
  </si>
  <si>
    <t>-</t>
  </si>
  <si>
    <t>Nákladní vůz</t>
  </si>
  <si>
    <t>Plošinový vůz</t>
  </si>
  <si>
    <t>Krytý vůz</t>
  </si>
  <si>
    <t>Mot. lokomotiva</t>
  </si>
  <si>
    <t>Modernizovaný jídelní vůz pro 24+7 cestujících</t>
  </si>
  <si>
    <t>Jídelní vůz</t>
  </si>
  <si>
    <t>Vůz 1. třídy</t>
  </si>
  <si>
    <t>Vůz 2. třídy</t>
  </si>
  <si>
    <t>Škoda Vagonka</t>
  </si>
  <si>
    <t>Vícesystémová elektrická lokomotiva</t>
  </si>
  <si>
    <t>Čtyřnápravová motorová lokomotiva pro těžkou traťovou službu</t>
  </si>
  <si>
    <t>Čtyřnápravová motorová lokomotiva pro lehkou traťovou službu</t>
  </si>
  <si>
    <t>Speciální vůz</t>
  </si>
  <si>
    <t>Plošinový vůz, vůz pro přepravu kontejnerů</t>
  </si>
  <si>
    <t>Značka / Výrobce (konkrétní vozidlo)</t>
  </si>
  <si>
    <t>CZ LOKO</t>
  </si>
  <si>
    <t>Pozn.: V katalogu vozidel jsou uvedena typická konkrétní vozidla, vždy se však jedná i o přiměřeně podobná vozidla jiných výrobců nebo jiného provedení se zachováním hlavních technických a provozních charakteristik</t>
  </si>
  <si>
    <t>Emil Zátopek</t>
  </si>
  <si>
    <t>Škoda Transportation</t>
  </si>
  <si>
    <t>Taurus</t>
  </si>
  <si>
    <t>Siemens</t>
  </si>
  <si>
    <t>Velaro</t>
  </si>
  <si>
    <t>ICE 3</t>
  </si>
  <si>
    <t>Osmivozová vysokorychlostní jednotka pro 440 cestujících</t>
  </si>
  <si>
    <t>Třívozová patrová elektrická jednotka pro 310 sedících a 333 stojících cestujících</t>
  </si>
  <si>
    <t>Třívozová elektrická jednotka pro 241 sedících cestujících</t>
  </si>
  <si>
    <t>Dvouvozová elektrická jednotka pro 147 sedících cestujících</t>
  </si>
  <si>
    <t>nespecifikováno</t>
  </si>
  <si>
    <t>Základní provozní náklady</t>
  </si>
  <si>
    <t>Ostatní provozní náklady</t>
  </si>
  <si>
    <t>sklon</t>
  </si>
  <si>
    <t>rychlost</t>
  </si>
  <si>
    <t>zastavení</t>
  </si>
  <si>
    <t>Cena energie</t>
  </si>
  <si>
    <t>lokomotivní</t>
  </si>
  <si>
    <t>el</t>
  </si>
  <si>
    <t>mot</t>
  </si>
  <si>
    <t>lok</t>
  </si>
  <si>
    <t>základ</t>
  </si>
  <si>
    <t>Netrakční</t>
  </si>
  <si>
    <t>manipulace</t>
  </si>
  <si>
    <t>topení</t>
  </si>
  <si>
    <t>účinnost</t>
  </si>
  <si>
    <t>Stupeň rychlosti</t>
  </si>
  <si>
    <t>koef. zastavení</t>
  </si>
  <si>
    <t>koef. sklonu</t>
  </si>
  <si>
    <t>koef. rychlosti</t>
  </si>
  <si>
    <t>kód</t>
  </si>
  <si>
    <t>od</t>
  </si>
  <si>
    <t>nd</t>
  </si>
  <si>
    <t>koef. netrakční</t>
  </si>
  <si>
    <t>[kWh/tis.hrtkm]</t>
  </si>
  <si>
    <t>trakční spotřeba</t>
  </si>
  <si>
    <t>Vlaky kategorie Ex, Nex</t>
  </si>
  <si>
    <t>Vlaky kategorie Sp, Pn</t>
  </si>
  <si>
    <t>Vlaky kategorie Os, Mn</t>
  </si>
  <si>
    <r>
      <t xml:space="preserve">Trať se sklony do 5 </t>
    </r>
    <r>
      <rPr>
        <sz val="10"/>
        <rFont val="Calibri"/>
        <family val="2"/>
        <charset val="238"/>
      </rPr>
      <t>‰</t>
    </r>
  </si>
  <si>
    <r>
      <t xml:space="preserve">Trať se sklony do 10 </t>
    </r>
    <r>
      <rPr>
        <sz val="10"/>
        <rFont val="Calibri"/>
        <family val="2"/>
        <charset val="238"/>
      </rPr>
      <t>‰</t>
    </r>
  </si>
  <si>
    <r>
      <t xml:space="preserve">Trať se sklony více jak 10 </t>
    </r>
    <r>
      <rPr>
        <sz val="10"/>
        <rFont val="Calibri"/>
        <family val="2"/>
        <charset val="238"/>
      </rPr>
      <t>‰</t>
    </r>
  </si>
  <si>
    <t>Jízda vlaku rychlostí do 50 km/h</t>
  </si>
  <si>
    <t>Jízda vlaku rychlostí do 75 km/h</t>
  </si>
  <si>
    <t>Jízda vlaku rychlostí do 100 km/h</t>
  </si>
  <si>
    <t>Hodnota</t>
  </si>
  <si>
    <t>Význam</t>
  </si>
  <si>
    <t>Tabulka koeficientů</t>
  </si>
  <si>
    <t>Výpočet trakční a netrakční energie</t>
  </si>
  <si>
    <t>Tab. 0.1</t>
  </si>
  <si>
    <t>Tab. 0.2</t>
  </si>
  <si>
    <t>Tab. 0.3</t>
  </si>
  <si>
    <t>Tab. 0.4</t>
  </si>
  <si>
    <t>Tab. 0.5</t>
  </si>
  <si>
    <t>Tab. 5</t>
  </si>
  <si>
    <t>Výpočetní model pro stanovení zjednodušených sazeb pro výpočet provozních nákladů vlaků</t>
  </si>
  <si>
    <t>Barevné značení buněk</t>
  </si>
  <si>
    <t>manuální zadání vstupní hodnoty</t>
  </si>
  <si>
    <t>pole automaticky dopočítávané</t>
  </si>
  <si>
    <t xml:space="preserve">popisné pole tabulky </t>
  </si>
  <si>
    <t>Tab. 1.1</t>
  </si>
  <si>
    <t>Tab. 1.2</t>
  </si>
  <si>
    <t>Tab. 1.3</t>
  </si>
  <si>
    <t>Tab. 1.4</t>
  </si>
  <si>
    <t>Tab. 1.5</t>
  </si>
  <si>
    <t>Tab. 2.1</t>
  </si>
  <si>
    <t>Tab. 2.3</t>
  </si>
  <si>
    <t>Tab. 2.4</t>
  </si>
  <si>
    <t>Tab. 3.1</t>
  </si>
  <si>
    <t>Tab. 4.1</t>
  </si>
  <si>
    <t>Tab. 4.2</t>
  </si>
  <si>
    <t>Tab. 4.3</t>
  </si>
  <si>
    <t>Tab. 4.4</t>
  </si>
  <si>
    <t>Tab. 4.5</t>
  </si>
  <si>
    <t>Modernizovaný osobní vůz 1. třídy pro 58 cestujících</t>
  </si>
  <si>
    <t>Modernizovaný osobní vůz 2. třídy pro 66 cestujících</t>
  </si>
  <si>
    <t>Eurorunner ER20</t>
  </si>
  <si>
    <t>EffiShunter 1000</t>
  </si>
  <si>
    <t>EffiShunter</t>
  </si>
  <si>
    <t xml:space="preserve">Dvounápravová motorová lokomotiva pro posun </t>
  </si>
  <si>
    <t>Krytý vůz pro přepravu kusového zboží</t>
  </si>
  <si>
    <t>Nákladní vůz speciální konstrukce (chladící vůz, cisternový vůz apod.)</t>
  </si>
  <si>
    <t>Propočtená spotřeba energie</t>
  </si>
  <si>
    <t>rekuperace</t>
  </si>
  <si>
    <t>Tab. 0.6</t>
  </si>
  <si>
    <t>Základní cena</t>
  </si>
  <si>
    <t>Jízda vlaku rychlostí do 130 km/h</t>
  </si>
  <si>
    <t>Jízda vlaku rychlostí do 160 km/h</t>
  </si>
  <si>
    <t>Jízda vlaku rychlostí do 200 km/h</t>
  </si>
  <si>
    <t>strojved. osob.</t>
  </si>
  <si>
    <t>strojved. nákl.</t>
  </si>
  <si>
    <t>Základní provozní náklady - časová složka</t>
  </si>
  <si>
    <t>Základní provozní náklady - dráhová složka</t>
  </si>
  <si>
    <t>704.9</t>
  </si>
  <si>
    <t>753.7</t>
  </si>
  <si>
    <t>Modernizace 753</t>
  </si>
  <si>
    <t>Čtyřnápravová motorová lokomotiva pro nákladní traťovou službu</t>
  </si>
  <si>
    <t>CELKEM PŘEPOČTENÉ PROVOZNÍ NÁKLADY</t>
  </si>
  <si>
    <t>Rekuperace</t>
  </si>
  <si>
    <t>ANO</t>
  </si>
  <si>
    <t>NE</t>
  </si>
  <si>
    <t>Kategorie trati</t>
  </si>
  <si>
    <t>Kategorie trati 1</t>
  </si>
  <si>
    <t>Kategorie trati 2</t>
  </si>
  <si>
    <t>Kategorie trati 3</t>
  </si>
  <si>
    <t>Kategorie trati 4</t>
  </si>
  <si>
    <t>Kategorie trati 5</t>
  </si>
  <si>
    <t>koef.</t>
  </si>
  <si>
    <t>Produktový faktor</t>
  </si>
  <si>
    <t>hodnota</t>
  </si>
  <si>
    <t>do 49</t>
  </si>
  <si>
    <t>50 až 99</t>
  </si>
  <si>
    <t>100 až 199</t>
  </si>
  <si>
    <t>200 až 299</t>
  </si>
  <si>
    <t>300 až 399</t>
  </si>
  <si>
    <t>400 až 499</t>
  </si>
  <si>
    <t>500 až 599</t>
  </si>
  <si>
    <t>600 až 699</t>
  </si>
  <si>
    <t>700 až 799</t>
  </si>
  <si>
    <t>800 až 899</t>
  </si>
  <si>
    <t>900 až 999</t>
  </si>
  <si>
    <t>1000 až 1199</t>
  </si>
  <si>
    <t>1200 až 1399</t>
  </si>
  <si>
    <t>1400 až 1599</t>
  </si>
  <si>
    <t>1600 až 1799</t>
  </si>
  <si>
    <t>1800 až 1999</t>
  </si>
  <si>
    <t>2000 až 2199</t>
  </si>
  <si>
    <t>2200 až 2399</t>
  </si>
  <si>
    <t>2400 až 2599</t>
  </si>
  <si>
    <t>2600 až 2799</t>
  </si>
  <si>
    <t>2800 až 2999</t>
  </si>
  <si>
    <t>nad 3000</t>
  </si>
  <si>
    <t>hmotnost [t]</t>
  </si>
  <si>
    <t>hodnota S1</t>
  </si>
  <si>
    <t>Tab. 2.5a</t>
  </si>
  <si>
    <t>Tab. 2.5b</t>
  </si>
  <si>
    <t>Specifický faktor S1</t>
  </si>
  <si>
    <t>Specifický faktor S2</t>
  </si>
  <si>
    <t>HV vybavené ETCS L2</t>
  </si>
  <si>
    <t>HV nevybavené ETCS L2</t>
  </si>
  <si>
    <t>hodnota S2</t>
  </si>
  <si>
    <t>Tab. 2.5c</t>
  </si>
  <si>
    <t>Legenda pro hodnoty v Tab. 2.3:</t>
  </si>
  <si>
    <t>kategorie 1</t>
  </si>
  <si>
    <t>kategorie 2</t>
  </si>
  <si>
    <t>kategorie 3</t>
  </si>
  <si>
    <t>kategorie 4</t>
  </si>
  <si>
    <t>kategorie 5</t>
  </si>
  <si>
    <t>Px</t>
  </si>
  <si>
    <t>Hodnota specifického faktoru S1</t>
  </si>
  <si>
    <t>Hodnota specifického faktoru S2</t>
  </si>
  <si>
    <t>Hodnota produktového faktoru P</t>
  </si>
  <si>
    <t>S1</t>
  </si>
  <si>
    <t>S2</t>
  </si>
  <si>
    <t>Délka úseku tratě</t>
  </si>
  <si>
    <t>P1 (osobní doprava)</t>
  </si>
  <si>
    <t>P2 (nákl.d. nespecifická)</t>
  </si>
  <si>
    <t>P3 (svoz a rozvoz voz. zásilek)</t>
  </si>
  <si>
    <t>P4 (kombinovaná nákl.d.)</t>
  </si>
  <si>
    <t>P5 (nákl.d. nestandartní)</t>
  </si>
  <si>
    <t>základní sazba [kWh/tis.hrtkm]</t>
  </si>
  <si>
    <r>
      <t>Skutečná spotřeba</t>
    </r>
    <r>
      <rPr>
        <sz val="10"/>
        <color indexed="10"/>
        <rFont val="Arial"/>
        <family val="2"/>
        <charset val="238"/>
      </rPr>
      <t xml:space="preserve"> </t>
    </r>
    <r>
      <rPr>
        <i/>
        <sz val="10"/>
        <color indexed="10"/>
        <rFont val="Arial"/>
        <family val="2"/>
        <charset val="238"/>
      </rPr>
      <t>(alternativní výpočet)</t>
    </r>
  </si>
  <si>
    <t>Délka jízdy vlaku</t>
  </si>
  <si>
    <r>
      <t xml:space="preserve">Poměr časového      využití vlaku                            </t>
    </r>
    <r>
      <rPr>
        <sz val="10"/>
        <rFont val="Arial"/>
        <family val="2"/>
        <charset val="238"/>
      </rPr>
      <t xml:space="preserve"> </t>
    </r>
    <r>
      <rPr>
        <i/>
        <sz val="10"/>
        <rFont val="Arial"/>
        <family val="2"/>
        <charset val="238"/>
      </rPr>
      <t>(popř. počet hodin                      v oběhu)</t>
    </r>
  </si>
  <si>
    <t>Průměrná cestovní rychlost vlaku (pro přepočet)</t>
  </si>
  <si>
    <t>(obě složky přepočteny vždy na jednu z nich)</t>
  </si>
  <si>
    <t>Celkové obchodní náklady - časová složka</t>
  </si>
  <si>
    <t>Celkové obchodní náklady - dráhová složka</t>
  </si>
  <si>
    <t>Následující údaje jsou uvedeny pouze pro celkovou informaci, ale nevstupují do ekonomického hodnocení:</t>
  </si>
  <si>
    <t>el.ss</t>
  </si>
  <si>
    <t>el.stř</t>
  </si>
  <si>
    <t>Ostatní</t>
  </si>
  <si>
    <t>pole automaticky dopočítávané (důležité výstupy)</t>
  </si>
  <si>
    <t>Pořizovací náklady (rozloženo do 30 let)</t>
  </si>
  <si>
    <t>Tab. 2.2</t>
  </si>
  <si>
    <t>verze 08/2017</t>
  </si>
  <si>
    <t>S1B</t>
  </si>
  <si>
    <t>S5</t>
  </si>
  <si>
    <t>R63</t>
  </si>
  <si>
    <t>NEX</t>
  </si>
  <si>
    <t>nákladní vůz</t>
  </si>
  <si>
    <t>PN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</si>
</sst>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0.000"/>
    <numFmt numFmtId="165" formatCode="0.0"/>
    <numFmt numFmtId="166" formatCode="#,##0.0"/>
    <numFmt numFmtId="167" formatCode="00&quot; %  z mezd&quot;"/>
    <numFmt numFmtId="168" formatCode="0&quot; %&quot;"/>
  </numFmts>
  <fonts count="26" x14ac:knownFonts="1">
    <font>
      <sz val="10"/>
      <name val="Arial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sz val="10"/>
      <name val="Arial"/>
      <family val="2"/>
      <charset val="238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i/>
      <sz val="10"/>
      <name val="Arial"/>
      <family val="2"/>
      <charset val="238"/>
    </font>
    <font>
      <b/>
      <i/>
      <sz val="10"/>
      <name val="Arial"/>
      <family val="2"/>
      <charset val="238"/>
    </font>
    <font>
      <vertAlign val="subscript"/>
      <sz val="8"/>
      <name val="Arial"/>
      <family val="2"/>
      <charset val="238"/>
    </font>
    <font>
      <sz val="8"/>
      <color indexed="30"/>
      <name val="Arial"/>
      <family val="2"/>
      <charset val="238"/>
    </font>
    <font>
      <b/>
      <sz val="10"/>
      <color indexed="10"/>
      <name val="Arial"/>
      <family val="2"/>
      <charset val="238"/>
    </font>
    <font>
      <sz val="10"/>
      <color indexed="8"/>
      <name val="Arial"/>
      <family val="2"/>
      <charset val="238"/>
    </font>
    <font>
      <sz val="8"/>
      <name val="Arial"/>
      <family val="2"/>
      <charset val="238"/>
    </font>
    <font>
      <sz val="10"/>
      <name val="Calibri"/>
      <family val="2"/>
      <charset val="238"/>
    </font>
    <font>
      <sz val="8"/>
      <color indexed="21"/>
      <name val="Arial"/>
      <family val="2"/>
      <charset val="238"/>
    </font>
    <font>
      <b/>
      <sz val="14"/>
      <name val="Arial"/>
      <family val="2"/>
      <charset val="238"/>
    </font>
    <font>
      <i/>
      <sz val="8"/>
      <name val="Arial"/>
      <family val="2"/>
      <charset val="238"/>
    </font>
    <font>
      <sz val="9"/>
      <name val="Arial"/>
      <family val="2"/>
      <charset val="238"/>
    </font>
    <font>
      <sz val="10"/>
      <color indexed="10"/>
      <name val="Arial"/>
      <family val="2"/>
      <charset val="238"/>
    </font>
    <font>
      <i/>
      <sz val="10"/>
      <color indexed="10"/>
      <name val="Arial"/>
      <family val="2"/>
      <charset val="238"/>
    </font>
    <font>
      <b/>
      <i/>
      <sz val="10"/>
      <color theme="0"/>
      <name val="Arial"/>
      <family val="2"/>
      <charset val="238"/>
    </font>
    <font>
      <b/>
      <sz val="10"/>
      <color rgb="FF0070C0"/>
      <name val="Arial"/>
      <family val="2"/>
      <charset val="238"/>
    </font>
    <font>
      <sz val="8"/>
      <color rgb="FF0070C0"/>
      <name val="Arial"/>
      <family val="2"/>
      <charset val="238"/>
    </font>
    <font>
      <sz val="14"/>
      <color rgb="FF0070C0"/>
      <name val="Arial"/>
      <family val="2"/>
      <charset val="238"/>
    </font>
  </fonts>
  <fills count="1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2F2F2"/>
        <bgColor indexed="64"/>
      </patternFill>
    </fill>
  </fills>
  <borders count="7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29">
    <xf numFmtId="0" fontId="0" fillId="0" borderId="0" xfId="0"/>
    <xf numFmtId="0" fontId="22" fillId="5" borderId="0" xfId="0" applyFont="1" applyFill="1" applyProtection="1">
      <protection hidden="1"/>
    </xf>
    <xf numFmtId="0" fontId="0" fillId="0" borderId="0" xfId="0" applyProtection="1">
      <protection hidden="1"/>
    </xf>
    <xf numFmtId="0" fontId="0" fillId="0" borderId="0" xfId="0" applyAlignment="1" applyProtection="1">
      <alignment horizontal="center"/>
      <protection hidden="1"/>
    </xf>
    <xf numFmtId="0" fontId="2" fillId="6" borderId="1" xfId="0" applyFont="1" applyFill="1" applyBorder="1" applyProtection="1">
      <protection hidden="1"/>
    </xf>
    <xf numFmtId="0" fontId="2" fillId="6" borderId="2" xfId="0" applyFont="1" applyFill="1" applyBorder="1" applyProtection="1">
      <protection hidden="1"/>
    </xf>
    <xf numFmtId="0" fontId="2" fillId="6" borderId="2" xfId="0" applyFont="1" applyFill="1" applyBorder="1" applyAlignment="1" applyProtection="1">
      <alignment horizontal="center"/>
      <protection hidden="1"/>
    </xf>
    <xf numFmtId="0" fontId="2" fillId="6" borderId="3" xfId="0" applyFont="1" applyFill="1" applyBorder="1" applyAlignment="1" applyProtection="1">
      <alignment horizontal="center"/>
      <protection hidden="1"/>
    </xf>
    <xf numFmtId="0" fontId="2" fillId="6" borderId="4" xfId="0" applyFont="1" applyFill="1" applyBorder="1" applyAlignment="1" applyProtection="1">
      <alignment horizontal="center"/>
      <protection hidden="1"/>
    </xf>
    <xf numFmtId="0" fontId="2" fillId="6" borderId="5" xfId="0" applyFont="1" applyFill="1" applyBorder="1" applyProtection="1">
      <protection hidden="1"/>
    </xf>
    <xf numFmtId="0" fontId="2" fillId="6" borderId="6" xfId="0" applyFont="1" applyFill="1" applyBorder="1" applyProtection="1">
      <protection hidden="1"/>
    </xf>
    <xf numFmtId="0" fontId="2" fillId="6" borderId="6" xfId="0" applyFont="1" applyFill="1" applyBorder="1" applyAlignment="1" applyProtection="1">
      <alignment horizontal="center"/>
      <protection hidden="1"/>
    </xf>
    <xf numFmtId="0" fontId="6" fillId="6" borderId="7" xfId="0" applyFont="1" applyFill="1" applyBorder="1" applyAlignment="1" applyProtection="1">
      <alignment horizontal="center"/>
      <protection hidden="1"/>
    </xf>
    <xf numFmtId="0" fontId="6" fillId="6" borderId="8" xfId="0" applyFont="1" applyFill="1" applyBorder="1" applyAlignment="1" applyProtection="1">
      <alignment horizontal="center"/>
      <protection hidden="1"/>
    </xf>
    <xf numFmtId="0" fontId="5" fillId="7" borderId="9" xfId="0" applyFont="1" applyFill="1" applyBorder="1" applyProtection="1">
      <protection hidden="1"/>
    </xf>
    <xf numFmtId="0" fontId="5" fillId="7" borderId="0" xfId="0" applyFont="1" applyFill="1" applyBorder="1" applyProtection="1">
      <protection hidden="1"/>
    </xf>
    <xf numFmtId="0" fontId="0" fillId="7" borderId="0" xfId="0" applyFill="1" applyBorder="1" applyAlignment="1" applyProtection="1">
      <alignment horizontal="center"/>
      <protection hidden="1"/>
    </xf>
    <xf numFmtId="0" fontId="7" fillId="0" borderId="10" xfId="0" applyFont="1" applyFill="1" applyBorder="1" applyAlignment="1" applyProtection="1">
      <alignment horizontal="center" vertical="center"/>
      <protection hidden="1"/>
    </xf>
    <xf numFmtId="0" fontId="7" fillId="0" borderId="11" xfId="0" applyFont="1" applyFill="1" applyBorder="1" applyAlignment="1" applyProtection="1">
      <alignment horizontal="center" vertical="center"/>
      <protection hidden="1"/>
    </xf>
    <xf numFmtId="0" fontId="0" fillId="7" borderId="9" xfId="0" applyFill="1" applyBorder="1" applyProtection="1">
      <protection hidden="1"/>
    </xf>
    <xf numFmtId="0" fontId="0" fillId="7" borderId="0" xfId="0" applyFill="1" applyBorder="1" applyProtection="1">
      <protection hidden="1"/>
    </xf>
    <xf numFmtId="0" fontId="0" fillId="7" borderId="12" xfId="0" applyFill="1" applyBorder="1" applyProtection="1">
      <protection hidden="1"/>
    </xf>
    <xf numFmtId="0" fontId="0" fillId="7" borderId="13" xfId="0" applyFill="1" applyBorder="1" applyProtection="1">
      <protection hidden="1"/>
    </xf>
    <xf numFmtId="0" fontId="0" fillId="7" borderId="13" xfId="0" applyFill="1" applyBorder="1" applyAlignment="1" applyProtection="1">
      <alignment horizontal="center"/>
      <protection hidden="1"/>
    </xf>
    <xf numFmtId="0" fontId="7" fillId="0" borderId="14" xfId="0" applyFont="1" applyFill="1" applyBorder="1" applyAlignment="1" applyProtection="1">
      <alignment horizontal="center" vertical="center"/>
      <protection hidden="1"/>
    </xf>
    <xf numFmtId="0" fontId="7" fillId="0" borderId="15" xfId="0" applyFont="1" applyFill="1" applyBorder="1" applyAlignment="1" applyProtection="1">
      <alignment horizontal="center" vertical="center"/>
      <protection hidden="1"/>
    </xf>
    <xf numFmtId="0" fontId="5" fillId="7" borderId="16" xfId="0" applyFont="1" applyFill="1" applyBorder="1" applyProtection="1">
      <protection hidden="1"/>
    </xf>
    <xf numFmtId="0" fontId="0" fillId="7" borderId="17" xfId="0" applyFill="1" applyBorder="1" applyProtection="1">
      <protection hidden="1"/>
    </xf>
    <xf numFmtId="0" fontId="5" fillId="7" borderId="17" xfId="0" applyFont="1" applyFill="1" applyBorder="1" applyAlignment="1" applyProtection="1">
      <alignment horizontal="center"/>
      <protection hidden="1"/>
    </xf>
    <xf numFmtId="165" fontId="7" fillId="0" borderId="18" xfId="0" applyNumberFormat="1" applyFont="1" applyFill="1" applyBorder="1" applyAlignment="1" applyProtection="1">
      <alignment horizontal="center" vertical="center"/>
      <protection hidden="1"/>
    </xf>
    <xf numFmtId="165" fontId="7" fillId="0" borderId="19" xfId="0" applyNumberFormat="1" applyFont="1" applyFill="1" applyBorder="1" applyAlignment="1" applyProtection="1">
      <alignment horizontal="center" vertical="center"/>
      <protection hidden="1"/>
    </xf>
    <xf numFmtId="0" fontId="5" fillId="0" borderId="0" xfId="0" applyFont="1" applyFill="1" applyBorder="1" applyProtection="1">
      <protection hidden="1"/>
    </xf>
    <xf numFmtId="0" fontId="0" fillId="0" borderId="0" xfId="0" applyFill="1" applyBorder="1" applyProtection="1">
      <protection hidden="1"/>
    </xf>
    <xf numFmtId="0" fontId="5" fillId="0" borderId="0" xfId="0" applyFont="1" applyFill="1" applyBorder="1" applyAlignment="1" applyProtection="1">
      <alignment horizontal="center"/>
      <protection hidden="1"/>
    </xf>
    <xf numFmtId="0" fontId="7" fillId="0" borderId="0" xfId="0" applyFont="1" applyFill="1" applyBorder="1" applyAlignment="1" applyProtection="1">
      <alignment horizontal="center" vertical="center"/>
      <protection hidden="1"/>
    </xf>
    <xf numFmtId="0" fontId="0" fillId="0" borderId="0" xfId="0" applyFill="1" applyBorder="1" applyAlignment="1" applyProtection="1">
      <alignment horizontal="center"/>
      <protection hidden="1"/>
    </xf>
    <xf numFmtId="0" fontId="6" fillId="6" borderId="20" xfId="0" applyFont="1" applyFill="1" applyBorder="1" applyAlignment="1" applyProtection="1">
      <alignment horizontal="center"/>
      <protection hidden="1"/>
    </xf>
    <xf numFmtId="0" fontId="6" fillId="6" borderId="21" xfId="0" applyFont="1" applyFill="1" applyBorder="1" applyAlignment="1" applyProtection="1">
      <alignment horizontal="center"/>
      <protection hidden="1"/>
    </xf>
    <xf numFmtId="0" fontId="6" fillId="6" borderId="22" xfId="0" applyFont="1" applyFill="1" applyBorder="1" applyAlignment="1" applyProtection="1">
      <alignment horizontal="center"/>
      <protection hidden="1"/>
    </xf>
    <xf numFmtId="0" fontId="5" fillId="7" borderId="1" xfId="0" applyFont="1" applyFill="1" applyBorder="1" applyProtection="1">
      <protection hidden="1"/>
    </xf>
    <xf numFmtId="0" fontId="5" fillId="7" borderId="2" xfId="0" applyFont="1" applyFill="1" applyBorder="1" applyProtection="1">
      <protection hidden="1"/>
    </xf>
    <xf numFmtId="0" fontId="5" fillId="7" borderId="2" xfId="0" applyFont="1" applyFill="1" applyBorder="1" applyAlignment="1" applyProtection="1">
      <alignment horizontal="center"/>
      <protection hidden="1"/>
    </xf>
    <xf numFmtId="165" fontId="7" fillId="0" borderId="3" xfId="0" applyNumberFormat="1" applyFont="1" applyFill="1" applyBorder="1" applyAlignment="1" applyProtection="1">
      <alignment horizontal="center" vertical="center"/>
      <protection hidden="1"/>
    </xf>
    <xf numFmtId="165" fontId="7" fillId="0" borderId="23" xfId="0" applyNumberFormat="1" applyFont="1" applyFill="1" applyBorder="1" applyAlignment="1" applyProtection="1">
      <alignment horizontal="center" vertical="center"/>
      <protection hidden="1"/>
    </xf>
    <xf numFmtId="165" fontId="7" fillId="0" borderId="24" xfId="0" applyNumberFormat="1" applyFont="1" applyFill="1" applyBorder="1" applyAlignment="1" applyProtection="1">
      <alignment horizontal="center" vertical="center"/>
      <protection hidden="1"/>
    </xf>
    <xf numFmtId="0" fontId="6" fillId="2" borderId="21" xfId="0" applyFont="1" applyFill="1" applyBorder="1" applyAlignment="1" applyProtection="1">
      <alignment horizontal="center"/>
      <protection hidden="1"/>
    </xf>
    <xf numFmtId="0" fontId="6" fillId="2" borderId="22" xfId="0" applyFont="1" applyFill="1" applyBorder="1" applyAlignment="1" applyProtection="1">
      <alignment horizontal="center"/>
      <protection hidden="1"/>
    </xf>
    <xf numFmtId="0" fontId="3" fillId="7" borderId="1" xfId="0" applyFont="1" applyFill="1" applyBorder="1" applyAlignment="1" applyProtection="1">
      <alignment horizontal="left"/>
      <protection hidden="1"/>
    </xf>
    <xf numFmtId="0" fontId="0" fillId="7" borderId="2" xfId="0" applyFill="1" applyBorder="1" applyAlignment="1" applyProtection="1">
      <alignment horizontal="left"/>
      <protection hidden="1"/>
    </xf>
    <xf numFmtId="0" fontId="5" fillId="7" borderId="25" xfId="0" applyFont="1" applyFill="1" applyBorder="1" applyAlignment="1" applyProtection="1">
      <alignment horizontal="center"/>
      <protection hidden="1"/>
    </xf>
    <xf numFmtId="0" fontId="3" fillId="7" borderId="12" xfId="0" applyFont="1" applyFill="1" applyBorder="1" applyAlignment="1" applyProtection="1">
      <alignment horizontal="left"/>
      <protection hidden="1"/>
    </xf>
    <xf numFmtId="0" fontId="5" fillId="7" borderId="26" xfId="0" applyFont="1" applyFill="1" applyBorder="1" applyAlignment="1" applyProtection="1">
      <alignment horizontal="center"/>
      <protection hidden="1"/>
    </xf>
    <xf numFmtId="165" fontId="7" fillId="0" borderId="27" xfId="0" applyNumberFormat="1" applyFont="1" applyFill="1" applyBorder="1" applyAlignment="1" applyProtection="1">
      <alignment horizontal="center" vertical="center"/>
      <protection hidden="1"/>
    </xf>
    <xf numFmtId="165" fontId="7" fillId="0" borderId="28" xfId="0" applyNumberFormat="1" applyFont="1" applyFill="1" applyBorder="1" applyAlignment="1" applyProtection="1">
      <alignment horizontal="center" vertical="center"/>
      <protection hidden="1"/>
    </xf>
    <xf numFmtId="0" fontId="3" fillId="7" borderId="9" xfId="0" applyFont="1" applyFill="1" applyBorder="1" applyAlignment="1" applyProtection="1">
      <alignment horizontal="left"/>
      <protection hidden="1"/>
    </xf>
    <xf numFmtId="0" fontId="5" fillId="7" borderId="0" xfId="0" applyFont="1" applyFill="1" applyBorder="1" applyAlignment="1" applyProtection="1">
      <alignment horizontal="center"/>
      <protection hidden="1"/>
    </xf>
    <xf numFmtId="165" fontId="7" fillId="0" borderId="29" xfId="0" applyNumberFormat="1" applyFont="1" applyFill="1" applyBorder="1" applyAlignment="1" applyProtection="1">
      <alignment horizontal="center" vertical="center"/>
      <protection hidden="1"/>
    </xf>
    <xf numFmtId="165" fontId="7" fillId="0" borderId="30" xfId="0" applyNumberFormat="1" applyFont="1" applyFill="1" applyBorder="1" applyAlignment="1" applyProtection="1">
      <alignment horizontal="center" vertical="center"/>
      <protection hidden="1"/>
    </xf>
    <xf numFmtId="0" fontId="4" fillId="6" borderId="31" xfId="0" applyFont="1" applyFill="1" applyBorder="1" applyAlignment="1" applyProtection="1">
      <alignment horizontal="left"/>
      <protection hidden="1"/>
    </xf>
    <xf numFmtId="0" fontId="0" fillId="6" borderId="32" xfId="0" applyFill="1" applyBorder="1" applyProtection="1">
      <protection hidden="1"/>
    </xf>
    <xf numFmtId="0" fontId="5" fillId="6" borderId="32" xfId="0" applyFont="1" applyFill="1" applyBorder="1" applyAlignment="1" applyProtection="1">
      <alignment horizontal="center"/>
      <protection hidden="1"/>
    </xf>
    <xf numFmtId="0" fontId="4" fillId="6" borderId="33" xfId="0" applyFont="1" applyFill="1" applyBorder="1" applyAlignment="1" applyProtection="1">
      <alignment horizontal="left"/>
      <protection hidden="1"/>
    </xf>
    <xf numFmtId="0" fontId="0" fillId="6" borderId="18" xfId="0" applyFill="1" applyBorder="1" applyProtection="1">
      <protection hidden="1"/>
    </xf>
    <xf numFmtId="0" fontId="5" fillId="6" borderId="18" xfId="0" applyFont="1" applyFill="1" applyBorder="1" applyAlignment="1" applyProtection="1">
      <alignment horizontal="center"/>
      <protection hidden="1"/>
    </xf>
    <xf numFmtId="0" fontId="0" fillId="0" borderId="0" xfId="0" applyBorder="1" applyProtection="1">
      <protection hidden="1"/>
    </xf>
    <xf numFmtId="0" fontId="0" fillId="0" borderId="0" xfId="0" applyBorder="1" applyAlignment="1" applyProtection="1">
      <alignment horizontal="center"/>
      <protection hidden="1"/>
    </xf>
    <xf numFmtId="2" fontId="0" fillId="0" borderId="0" xfId="0" applyNumberFormat="1" applyProtection="1">
      <protection hidden="1"/>
    </xf>
    <xf numFmtId="0" fontId="23" fillId="0" borderId="13" xfId="0" applyFont="1" applyBorder="1" applyProtection="1">
      <protection hidden="1"/>
    </xf>
    <xf numFmtId="0" fontId="2" fillId="0" borderId="13" xfId="0" applyFont="1" applyBorder="1" applyProtection="1">
      <protection hidden="1"/>
    </xf>
    <xf numFmtId="0" fontId="2" fillId="0" borderId="13" xfId="0" applyFont="1" applyBorder="1" applyAlignment="1" applyProtection="1">
      <alignment horizontal="center"/>
      <protection hidden="1"/>
    </xf>
    <xf numFmtId="2" fontId="2" fillId="0" borderId="13" xfId="0" applyNumberFormat="1" applyFont="1" applyBorder="1" applyProtection="1">
      <protection hidden="1"/>
    </xf>
    <xf numFmtId="165" fontId="7" fillId="0" borderId="32" xfId="0" applyNumberFormat="1" applyFont="1" applyFill="1" applyBorder="1" applyAlignment="1" applyProtection="1">
      <alignment horizontal="center" vertical="center"/>
      <protection hidden="1"/>
    </xf>
    <xf numFmtId="0" fontId="3" fillId="7" borderId="16" xfId="0" applyFont="1" applyFill="1" applyBorder="1" applyAlignment="1" applyProtection="1">
      <alignment horizontal="left"/>
      <protection hidden="1"/>
    </xf>
    <xf numFmtId="165" fontId="7" fillId="0" borderId="34" xfId="0" applyNumberFormat="1" applyFont="1" applyFill="1" applyBorder="1" applyAlignment="1" applyProtection="1">
      <alignment horizontal="center" vertical="center"/>
      <protection hidden="1"/>
    </xf>
    <xf numFmtId="165" fontId="7" fillId="0" borderId="35" xfId="0" applyNumberFormat="1" applyFont="1" applyFill="1" applyBorder="1" applyAlignment="1" applyProtection="1">
      <alignment horizontal="center" vertical="center"/>
      <protection hidden="1"/>
    </xf>
    <xf numFmtId="0" fontId="6" fillId="2" borderId="36" xfId="0" applyFont="1" applyFill="1" applyBorder="1" applyAlignment="1" applyProtection="1">
      <alignment horizontal="center"/>
      <protection hidden="1"/>
    </xf>
    <xf numFmtId="0" fontId="6" fillId="2" borderId="37" xfId="0" applyFont="1" applyFill="1" applyBorder="1" applyAlignment="1" applyProtection="1">
      <alignment horizontal="center"/>
      <protection hidden="1"/>
    </xf>
    <xf numFmtId="0" fontId="6" fillId="2" borderId="38" xfId="0" applyFont="1" applyFill="1" applyBorder="1" applyAlignment="1" applyProtection="1">
      <alignment horizontal="center"/>
      <protection hidden="1"/>
    </xf>
    <xf numFmtId="0" fontId="5" fillId="7" borderId="5" xfId="0" applyFont="1" applyFill="1" applyBorder="1" applyProtection="1">
      <protection hidden="1"/>
    </xf>
    <xf numFmtId="0" fontId="0" fillId="7" borderId="6" xfId="0" applyFill="1" applyBorder="1" applyProtection="1">
      <protection hidden="1"/>
    </xf>
    <xf numFmtId="0" fontId="5" fillId="7" borderId="6" xfId="0" applyFont="1" applyFill="1" applyBorder="1" applyAlignment="1" applyProtection="1">
      <alignment horizontal="center"/>
      <protection hidden="1"/>
    </xf>
    <xf numFmtId="0" fontId="5" fillId="7" borderId="12" xfId="0" applyFont="1" applyFill="1" applyBorder="1" applyProtection="1">
      <protection hidden="1"/>
    </xf>
    <xf numFmtId="0" fontId="5" fillId="7" borderId="13" xfId="0" applyFont="1" applyFill="1" applyBorder="1" applyAlignment="1" applyProtection="1">
      <alignment horizontal="center"/>
      <protection hidden="1"/>
    </xf>
    <xf numFmtId="2" fontId="1" fillId="0" borderId="14" xfId="0" applyNumberFormat="1" applyFont="1" applyFill="1" applyBorder="1" applyAlignment="1" applyProtection="1">
      <alignment horizontal="center" vertical="center"/>
      <protection hidden="1"/>
    </xf>
    <xf numFmtId="2" fontId="1" fillId="0" borderId="15" xfId="0" applyNumberFormat="1" applyFont="1" applyFill="1" applyBorder="1" applyAlignment="1" applyProtection="1">
      <alignment horizontal="center" vertical="center"/>
      <protection hidden="1"/>
    </xf>
    <xf numFmtId="0" fontId="5" fillId="7" borderId="39" xfId="0" applyFont="1" applyFill="1" applyBorder="1" applyProtection="1">
      <protection hidden="1"/>
    </xf>
    <xf numFmtId="0" fontId="0" fillId="7" borderId="40" xfId="0" applyFill="1" applyBorder="1" applyProtection="1">
      <protection hidden="1"/>
    </xf>
    <xf numFmtId="0" fontId="5" fillId="7" borderId="40" xfId="0" applyFont="1" applyFill="1" applyBorder="1" applyAlignment="1" applyProtection="1">
      <alignment horizontal="center"/>
      <protection hidden="1"/>
    </xf>
    <xf numFmtId="2" fontId="1" fillId="0" borderId="24" xfId="0" applyNumberFormat="1" applyFont="1" applyFill="1" applyBorder="1" applyAlignment="1" applyProtection="1">
      <alignment horizontal="center" vertical="center"/>
      <protection hidden="1"/>
    </xf>
    <xf numFmtId="2" fontId="1" fillId="0" borderId="19" xfId="0" applyNumberFormat="1" applyFont="1" applyFill="1" applyBorder="1" applyAlignment="1" applyProtection="1">
      <alignment horizontal="center" vertical="center"/>
      <protection hidden="1"/>
    </xf>
    <xf numFmtId="0" fontId="5" fillId="7" borderId="41" xfId="0" applyFont="1" applyFill="1" applyBorder="1" applyProtection="1">
      <protection hidden="1"/>
    </xf>
    <xf numFmtId="0" fontId="5" fillId="7" borderId="42" xfId="0" applyFont="1" applyFill="1" applyBorder="1" applyProtection="1">
      <protection hidden="1"/>
    </xf>
    <xf numFmtId="0" fontId="5" fillId="7" borderId="32" xfId="0" applyFont="1" applyFill="1" applyBorder="1" applyAlignment="1" applyProtection="1">
      <alignment horizontal="center"/>
      <protection hidden="1"/>
    </xf>
    <xf numFmtId="2" fontId="1" fillId="0" borderId="3" xfId="0" applyNumberFormat="1" applyFont="1" applyFill="1" applyBorder="1" applyAlignment="1" applyProtection="1">
      <alignment horizontal="center" vertical="center"/>
      <protection hidden="1"/>
    </xf>
    <xf numFmtId="2" fontId="1" fillId="0" borderId="23" xfId="0" applyNumberFormat="1" applyFont="1" applyFill="1" applyBorder="1" applyAlignment="1" applyProtection="1">
      <alignment horizontal="center" vertical="center"/>
      <protection hidden="1"/>
    </xf>
    <xf numFmtId="0" fontId="1" fillId="7" borderId="16" xfId="0" applyFont="1" applyFill="1" applyBorder="1" applyProtection="1">
      <protection hidden="1"/>
    </xf>
    <xf numFmtId="0" fontId="5" fillId="7" borderId="17" xfId="0" applyFont="1" applyFill="1" applyBorder="1" applyProtection="1">
      <protection hidden="1"/>
    </xf>
    <xf numFmtId="0" fontId="5" fillId="7" borderId="18" xfId="0" applyFont="1" applyFill="1" applyBorder="1" applyAlignment="1" applyProtection="1">
      <alignment horizontal="center"/>
      <protection hidden="1"/>
    </xf>
    <xf numFmtId="165" fontId="7" fillId="3" borderId="7" xfId="0" applyNumberFormat="1" applyFont="1" applyFill="1" applyBorder="1" applyAlignment="1" applyProtection="1">
      <alignment horizontal="center" vertical="center"/>
      <protection locked="0" hidden="1"/>
    </xf>
    <xf numFmtId="165" fontId="7" fillId="3" borderId="28" xfId="0" applyNumberFormat="1" applyFont="1" applyFill="1" applyBorder="1" applyAlignment="1" applyProtection="1">
      <alignment horizontal="center" vertical="center"/>
      <protection locked="0" hidden="1"/>
    </xf>
    <xf numFmtId="0" fontId="0" fillId="0" borderId="0" xfId="0" applyFill="1" applyProtection="1">
      <protection hidden="1"/>
    </xf>
    <xf numFmtId="4" fontId="2" fillId="8" borderId="32" xfId="0" applyNumberFormat="1" applyFont="1" applyFill="1" applyBorder="1" applyAlignment="1" applyProtection="1">
      <alignment horizontal="center" vertical="center"/>
      <protection hidden="1"/>
    </xf>
    <xf numFmtId="4" fontId="2" fillId="8" borderId="23" xfId="0" applyNumberFormat="1" applyFont="1" applyFill="1" applyBorder="1" applyAlignment="1" applyProtection="1">
      <alignment horizontal="center" vertical="center"/>
      <protection hidden="1"/>
    </xf>
    <xf numFmtId="4" fontId="2" fillId="8" borderId="18" xfId="0" applyNumberFormat="1" applyFont="1" applyFill="1" applyBorder="1" applyAlignment="1" applyProtection="1">
      <alignment horizontal="center" vertical="center"/>
      <protection hidden="1"/>
    </xf>
    <xf numFmtId="4" fontId="2" fillId="8" borderId="19" xfId="0" applyNumberFormat="1" applyFont="1" applyFill="1" applyBorder="1" applyAlignment="1" applyProtection="1">
      <alignment horizontal="center" vertical="center"/>
      <protection hidden="1"/>
    </xf>
    <xf numFmtId="0" fontId="2" fillId="2" borderId="2" xfId="0" applyFont="1" applyFill="1" applyBorder="1" applyAlignment="1" applyProtection="1">
      <alignment horizontal="center"/>
      <protection hidden="1"/>
    </xf>
    <xf numFmtId="0" fontId="2" fillId="2" borderId="4" xfId="0" applyFont="1" applyFill="1" applyBorder="1" applyAlignment="1" applyProtection="1">
      <alignment horizontal="center"/>
      <protection hidden="1"/>
    </xf>
    <xf numFmtId="0" fontId="2" fillId="7" borderId="6" xfId="0" applyFont="1" applyFill="1" applyBorder="1" applyAlignment="1" applyProtection="1">
      <alignment horizontal="center"/>
      <protection hidden="1"/>
    </xf>
    <xf numFmtId="0" fontId="2" fillId="2" borderId="45" xfId="0" applyFont="1" applyFill="1" applyBorder="1" applyAlignment="1" applyProtection="1">
      <alignment horizontal="center"/>
      <protection hidden="1"/>
    </xf>
    <xf numFmtId="0" fontId="7" fillId="7" borderId="46" xfId="0" applyFont="1" applyFill="1" applyBorder="1" applyAlignment="1" applyProtection="1">
      <alignment horizontal="center" vertical="center" wrapText="1"/>
      <protection hidden="1"/>
    </xf>
    <xf numFmtId="0" fontId="7" fillId="7" borderId="29" xfId="0" applyFont="1" applyFill="1" applyBorder="1" applyAlignment="1" applyProtection="1">
      <alignment horizontal="center" vertical="center" wrapText="1"/>
      <protection hidden="1"/>
    </xf>
    <xf numFmtId="0" fontId="7" fillId="7" borderId="18" xfId="0" applyFont="1" applyFill="1" applyBorder="1" applyAlignment="1" applyProtection="1">
      <alignment horizontal="center" wrapText="1"/>
      <protection hidden="1"/>
    </xf>
    <xf numFmtId="0" fontId="7" fillId="7" borderId="6" xfId="0" applyFont="1" applyFill="1" applyBorder="1" applyAlignment="1" applyProtection="1">
      <alignment horizontal="center" vertical="center" wrapText="1"/>
      <protection hidden="1"/>
    </xf>
    <xf numFmtId="0" fontId="7" fillId="7" borderId="18" xfId="0" applyFont="1" applyFill="1" applyBorder="1" applyAlignment="1" applyProtection="1">
      <alignment horizontal="center" vertical="center" wrapText="1"/>
      <protection hidden="1"/>
    </xf>
    <xf numFmtId="0" fontId="7" fillId="7" borderId="30" xfId="0" applyFont="1" applyFill="1" applyBorder="1" applyAlignment="1" applyProtection="1">
      <alignment horizontal="center" vertical="center" wrapText="1"/>
      <protection hidden="1"/>
    </xf>
    <xf numFmtId="0" fontId="4" fillId="0" borderId="0" xfId="0" applyFont="1" applyFill="1" applyBorder="1" applyAlignment="1" applyProtection="1">
      <alignment wrapText="1"/>
      <protection hidden="1"/>
    </xf>
    <xf numFmtId="0" fontId="0" fillId="7" borderId="47" xfId="0" applyFill="1" applyBorder="1" applyProtection="1">
      <protection hidden="1"/>
    </xf>
    <xf numFmtId="0" fontId="0" fillId="7" borderId="48" xfId="0" applyFill="1" applyBorder="1" applyProtection="1">
      <protection hidden="1"/>
    </xf>
    <xf numFmtId="0" fontId="7" fillId="7" borderId="45" xfId="0" applyFont="1" applyFill="1" applyBorder="1" applyAlignment="1" applyProtection="1">
      <alignment horizontal="center" vertical="center" wrapText="1"/>
      <protection hidden="1"/>
    </xf>
    <xf numFmtId="0" fontId="7" fillId="7" borderId="7" xfId="0" applyFont="1" applyFill="1" applyBorder="1" applyAlignment="1" applyProtection="1">
      <alignment horizontal="center" vertical="center" wrapText="1"/>
      <protection hidden="1"/>
    </xf>
    <xf numFmtId="0" fontId="7" fillId="7" borderId="28" xfId="0" applyFont="1" applyFill="1" applyBorder="1" applyAlignment="1" applyProtection="1">
      <alignment horizontal="center" vertical="center" wrapText="1"/>
      <protection hidden="1"/>
    </xf>
    <xf numFmtId="0" fontId="7" fillId="9" borderId="31" xfId="0" applyFont="1" applyFill="1" applyBorder="1" applyAlignment="1" applyProtection="1">
      <alignment horizontal="center" wrapText="1"/>
      <protection hidden="1"/>
    </xf>
    <xf numFmtId="0" fontId="7" fillId="9" borderId="32" xfId="0" applyFont="1" applyFill="1" applyBorder="1" applyAlignment="1" applyProtection="1">
      <alignment horizontal="center" vertical="center" wrapText="1"/>
      <protection hidden="1"/>
    </xf>
    <xf numFmtId="2" fontId="11" fillId="0" borderId="32" xfId="0" applyNumberFormat="1" applyFont="1" applyFill="1" applyBorder="1" applyAlignment="1" applyProtection="1">
      <alignment horizontal="center" vertical="center" wrapText="1"/>
      <protection hidden="1"/>
    </xf>
    <xf numFmtId="0" fontId="7" fillId="9" borderId="49" xfId="0" applyFont="1" applyFill="1" applyBorder="1" applyAlignment="1" applyProtection="1">
      <alignment horizontal="center" wrapText="1"/>
      <protection hidden="1"/>
    </xf>
    <xf numFmtId="0" fontId="7" fillId="9" borderId="49" xfId="0" applyFont="1" applyFill="1" applyBorder="1" applyAlignment="1" applyProtection="1">
      <alignment horizontal="center" vertical="center" wrapText="1"/>
      <protection hidden="1"/>
    </xf>
    <xf numFmtId="2" fontId="11" fillId="0" borderId="23" xfId="0" applyNumberFormat="1" applyFont="1" applyFill="1" applyBorder="1" applyAlignment="1" applyProtection="1">
      <alignment horizontal="center" vertical="center" wrapText="1"/>
      <protection hidden="1"/>
    </xf>
    <xf numFmtId="0" fontId="0" fillId="7" borderId="50" xfId="0" applyFill="1" applyBorder="1" applyProtection="1">
      <protection hidden="1"/>
    </xf>
    <xf numFmtId="0" fontId="7" fillId="7" borderId="51" xfId="0" applyFont="1" applyFill="1" applyBorder="1" applyAlignment="1" applyProtection="1">
      <alignment horizontal="center" vertical="center" wrapText="1"/>
      <protection hidden="1"/>
    </xf>
    <xf numFmtId="0" fontId="7" fillId="7" borderId="52" xfId="0" applyFont="1" applyFill="1" applyBorder="1" applyAlignment="1" applyProtection="1">
      <alignment horizontal="center" vertical="center" wrapText="1"/>
      <protection hidden="1"/>
    </xf>
    <xf numFmtId="0" fontId="7" fillId="7" borderId="53" xfId="0" applyFont="1" applyFill="1" applyBorder="1" applyAlignment="1" applyProtection="1">
      <alignment horizontal="center" vertical="center" wrapText="1"/>
      <protection hidden="1"/>
    </xf>
    <xf numFmtId="0" fontId="7" fillId="9" borderId="54" xfId="0" applyFont="1" applyFill="1" applyBorder="1" applyAlignment="1" applyProtection="1">
      <alignment horizontal="center" wrapText="1"/>
      <protection hidden="1"/>
    </xf>
    <xf numFmtId="0" fontId="7" fillId="9" borderId="7" xfId="0" applyFont="1" applyFill="1" applyBorder="1" applyAlignment="1" applyProtection="1">
      <alignment horizontal="center" vertical="center" wrapText="1"/>
      <protection hidden="1"/>
    </xf>
    <xf numFmtId="2" fontId="11" fillId="0" borderId="7" xfId="0" applyNumberFormat="1" applyFont="1" applyFill="1" applyBorder="1" applyAlignment="1" applyProtection="1">
      <alignment horizontal="center" vertical="center" wrapText="1"/>
      <protection hidden="1"/>
    </xf>
    <xf numFmtId="0" fontId="7" fillId="9" borderId="55" xfId="0" applyFont="1" applyFill="1" applyBorder="1" applyAlignment="1" applyProtection="1">
      <alignment horizontal="center" wrapText="1"/>
      <protection hidden="1"/>
    </xf>
    <xf numFmtId="0" fontId="7" fillId="9" borderId="55" xfId="0" applyFont="1" applyFill="1" applyBorder="1" applyAlignment="1" applyProtection="1">
      <alignment horizontal="center" vertical="center" wrapText="1"/>
      <protection hidden="1"/>
    </xf>
    <xf numFmtId="2" fontId="11" fillId="0" borderId="28" xfId="0" applyNumberFormat="1" applyFont="1" applyFill="1" applyBorder="1" applyAlignment="1" applyProtection="1">
      <alignment horizontal="center" vertical="center" wrapText="1"/>
      <protection hidden="1"/>
    </xf>
    <xf numFmtId="3" fontId="11" fillId="0" borderId="32" xfId="0" applyNumberFormat="1" applyFont="1" applyFill="1" applyBorder="1" applyAlignment="1" applyProtection="1">
      <alignment horizontal="center" vertical="center" wrapText="1"/>
      <protection hidden="1"/>
    </xf>
    <xf numFmtId="166" fontId="11" fillId="0" borderId="32" xfId="0" applyNumberFormat="1" applyFont="1" applyFill="1" applyBorder="1" applyAlignment="1" applyProtection="1">
      <alignment horizontal="center" vertical="center" wrapText="1"/>
      <protection hidden="1"/>
    </xf>
    <xf numFmtId="3" fontId="1" fillId="0" borderId="32" xfId="0" applyNumberFormat="1" applyFont="1" applyFill="1" applyBorder="1" applyAlignment="1" applyProtection="1">
      <alignment horizontal="center" vertical="center" wrapText="1"/>
      <protection hidden="1"/>
    </xf>
    <xf numFmtId="3" fontId="11" fillId="0" borderId="23" xfId="0" applyNumberFormat="1" applyFont="1" applyFill="1" applyBorder="1" applyAlignment="1" applyProtection="1">
      <alignment horizontal="center" vertical="center" wrapText="1"/>
      <protection hidden="1"/>
    </xf>
    <xf numFmtId="3" fontId="11" fillId="0" borderId="7" xfId="0" applyNumberFormat="1" applyFont="1" applyFill="1" applyBorder="1" applyAlignment="1" applyProtection="1">
      <alignment horizontal="center" vertical="center" wrapText="1"/>
      <protection hidden="1"/>
    </xf>
    <xf numFmtId="166" fontId="11" fillId="0" borderId="7" xfId="0" applyNumberFormat="1" applyFont="1" applyFill="1" applyBorder="1" applyAlignment="1" applyProtection="1">
      <alignment horizontal="center" vertical="center" wrapText="1"/>
      <protection hidden="1"/>
    </xf>
    <xf numFmtId="3" fontId="1" fillId="0" borderId="7" xfId="0" applyNumberFormat="1" applyFont="1" applyFill="1" applyBorder="1" applyAlignment="1" applyProtection="1">
      <alignment horizontal="center" vertical="center" wrapText="1"/>
      <protection hidden="1"/>
    </xf>
    <xf numFmtId="3" fontId="11" fillId="0" borderId="28" xfId="0" applyNumberFormat="1" applyFont="1" applyFill="1" applyBorder="1" applyAlignment="1" applyProtection="1">
      <alignment horizontal="center" vertical="center" wrapText="1"/>
      <protection hidden="1"/>
    </xf>
    <xf numFmtId="0" fontId="7" fillId="9" borderId="33" xfId="0" applyFont="1" applyFill="1" applyBorder="1" applyAlignment="1" applyProtection="1">
      <alignment horizontal="center" wrapText="1"/>
      <protection hidden="1"/>
    </xf>
    <xf numFmtId="0" fontId="7" fillId="9" borderId="18" xfId="0" applyFont="1" applyFill="1" applyBorder="1" applyAlignment="1" applyProtection="1">
      <alignment horizontal="center" vertical="center" wrapText="1"/>
      <protection hidden="1"/>
    </xf>
    <xf numFmtId="2" fontId="11" fillId="0" borderId="18" xfId="0" applyNumberFormat="1" applyFont="1" applyFill="1" applyBorder="1" applyAlignment="1" applyProtection="1">
      <alignment horizontal="center" vertical="center" wrapText="1"/>
      <protection hidden="1"/>
    </xf>
    <xf numFmtId="0" fontId="7" fillId="9" borderId="56" xfId="0" applyFont="1" applyFill="1" applyBorder="1" applyAlignment="1" applyProtection="1">
      <alignment horizontal="center" wrapText="1"/>
      <protection hidden="1"/>
    </xf>
    <xf numFmtId="0" fontId="7" fillId="9" borderId="56" xfId="0" applyFont="1" applyFill="1" applyBorder="1" applyAlignment="1" applyProtection="1">
      <alignment horizontal="center" vertical="center" wrapText="1"/>
      <protection hidden="1"/>
    </xf>
    <xf numFmtId="2" fontId="11" fillId="0" borderId="19" xfId="0" applyNumberFormat="1" applyFont="1" applyFill="1" applyBorder="1" applyAlignment="1" applyProtection="1">
      <alignment horizontal="center" vertical="center" wrapText="1"/>
      <protection hidden="1"/>
    </xf>
    <xf numFmtId="3" fontId="11" fillId="0" borderId="57" xfId="0" applyNumberFormat="1" applyFont="1" applyFill="1" applyBorder="1" applyAlignment="1" applyProtection="1">
      <alignment horizontal="center" vertical="center" wrapText="1"/>
      <protection hidden="1"/>
    </xf>
    <xf numFmtId="3" fontId="1" fillId="0" borderId="57" xfId="0" applyNumberFormat="1" applyFont="1" applyFill="1" applyBorder="1" applyAlignment="1" applyProtection="1">
      <alignment horizontal="center" vertical="center" wrapText="1"/>
      <protection hidden="1"/>
    </xf>
    <xf numFmtId="0" fontId="7" fillId="0" borderId="0" xfId="0" applyFont="1" applyFill="1" applyBorder="1" applyAlignment="1" applyProtection="1">
      <alignment horizontal="center" wrapText="1"/>
      <protection hidden="1"/>
    </xf>
    <xf numFmtId="0" fontId="7" fillId="0" borderId="0" xfId="0" applyFont="1" applyFill="1" applyBorder="1" applyAlignment="1" applyProtection="1">
      <alignment horizontal="center" vertical="center" wrapText="1"/>
      <protection hidden="1"/>
    </xf>
    <xf numFmtId="2" fontId="11" fillId="0" borderId="0" xfId="0" applyNumberFormat="1" applyFont="1" applyFill="1" applyBorder="1" applyAlignment="1" applyProtection="1">
      <alignment horizontal="center" vertical="center" wrapText="1"/>
      <protection hidden="1"/>
    </xf>
    <xf numFmtId="3" fontId="1" fillId="0" borderId="7" xfId="0" applyNumberFormat="1" applyFont="1" applyBorder="1" applyAlignment="1" applyProtection="1">
      <alignment horizontal="center" vertical="center" wrapText="1"/>
      <protection hidden="1"/>
    </xf>
    <xf numFmtId="3" fontId="11" fillId="0" borderId="28" xfId="0" applyNumberFormat="1" applyFont="1" applyBorder="1" applyAlignment="1" applyProtection="1">
      <alignment horizontal="center" vertical="center" wrapText="1"/>
      <protection hidden="1"/>
    </xf>
    <xf numFmtId="3" fontId="1" fillId="0" borderId="18" xfId="0" applyNumberFormat="1" applyFont="1" applyBorder="1" applyAlignment="1" applyProtection="1">
      <alignment horizontal="center" vertical="center" wrapText="1"/>
      <protection hidden="1"/>
    </xf>
    <xf numFmtId="3" fontId="11" fillId="0" borderId="19" xfId="0" applyNumberFormat="1" applyFont="1" applyBorder="1" applyAlignment="1" applyProtection="1">
      <alignment horizontal="center" vertical="center" wrapText="1"/>
      <protection hidden="1"/>
    </xf>
    <xf numFmtId="3" fontId="11" fillId="0" borderId="0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0" xfId="0" applyFont="1" applyFill="1" applyBorder="1" applyAlignment="1" applyProtection="1">
      <protection hidden="1"/>
    </xf>
    <xf numFmtId="0" fontId="5" fillId="7" borderId="31" xfId="0" applyFont="1" applyFill="1" applyBorder="1" applyProtection="1">
      <protection hidden="1"/>
    </xf>
    <xf numFmtId="0" fontId="5" fillId="0" borderId="23" xfId="0" applyFont="1" applyBorder="1" applyProtection="1">
      <protection hidden="1"/>
    </xf>
    <xf numFmtId="0" fontId="5" fillId="7" borderId="54" xfId="0" applyFont="1" applyFill="1" applyBorder="1" applyProtection="1">
      <protection hidden="1"/>
    </xf>
    <xf numFmtId="0" fontId="5" fillId="0" borderId="28" xfId="0" applyFont="1" applyBorder="1" applyProtection="1">
      <protection hidden="1"/>
    </xf>
    <xf numFmtId="0" fontId="5" fillId="7" borderId="61" xfId="0" applyFont="1" applyFill="1" applyBorder="1" applyAlignment="1" applyProtection="1">
      <alignment horizontal="center"/>
      <protection hidden="1"/>
    </xf>
    <xf numFmtId="0" fontId="5" fillId="7" borderId="12" xfId="0" applyFont="1" applyFill="1" applyBorder="1" applyAlignment="1" applyProtection="1">
      <alignment horizontal="center"/>
      <protection hidden="1"/>
    </xf>
    <xf numFmtId="0" fontId="5" fillId="7" borderId="62" xfId="0" applyFont="1" applyFill="1" applyBorder="1" applyAlignment="1" applyProtection="1">
      <alignment horizontal="center"/>
      <protection hidden="1"/>
    </xf>
    <xf numFmtId="0" fontId="5" fillId="7" borderId="57" xfId="0" applyFont="1" applyFill="1" applyBorder="1" applyAlignment="1" applyProtection="1">
      <alignment horizontal="center"/>
      <protection hidden="1"/>
    </xf>
    <xf numFmtId="0" fontId="5" fillId="7" borderId="15" xfId="0" applyFont="1" applyFill="1" applyBorder="1" applyAlignment="1" applyProtection="1">
      <alignment horizontal="center" vertical="center"/>
      <protection hidden="1"/>
    </xf>
    <xf numFmtId="0" fontId="5" fillId="7" borderId="63" xfId="0" applyFont="1" applyFill="1" applyBorder="1" applyProtection="1">
      <protection hidden="1"/>
    </xf>
    <xf numFmtId="0" fontId="5" fillId="0" borderId="35" xfId="0" applyFont="1" applyBorder="1" applyProtection="1">
      <protection hidden="1"/>
    </xf>
    <xf numFmtId="2" fontId="24" fillId="0" borderId="45" xfId="0" applyNumberFormat="1" applyFont="1" applyFill="1" applyBorder="1" applyAlignment="1" applyProtection="1">
      <alignment horizontal="center" vertical="center"/>
      <protection hidden="1"/>
    </xf>
    <xf numFmtId="2" fontId="24" fillId="0" borderId="7" xfId="0" applyNumberFormat="1" applyFont="1" applyFill="1" applyBorder="1" applyAlignment="1" applyProtection="1">
      <alignment horizontal="center" vertical="center"/>
      <protection hidden="1"/>
    </xf>
    <xf numFmtId="2" fontId="24" fillId="0" borderId="28" xfId="0" applyNumberFormat="1" applyFont="1" applyFill="1" applyBorder="1" applyAlignment="1" applyProtection="1">
      <alignment horizontal="center" vertical="center"/>
      <protection hidden="1"/>
    </xf>
    <xf numFmtId="3" fontId="0" fillId="0" borderId="0" xfId="0" applyNumberFormat="1" applyProtection="1">
      <protection hidden="1"/>
    </xf>
    <xf numFmtId="0" fontId="5" fillId="7" borderId="28" xfId="0" applyFont="1" applyFill="1" applyBorder="1" applyAlignment="1" applyProtection="1">
      <alignment horizontal="center"/>
      <protection hidden="1"/>
    </xf>
    <xf numFmtId="0" fontId="5" fillId="2" borderId="43" xfId="0" applyFont="1" applyFill="1" applyBorder="1" applyAlignment="1" applyProtection="1">
      <alignment horizontal="center" wrapText="1"/>
      <protection hidden="1"/>
    </xf>
    <xf numFmtId="0" fontId="5" fillId="2" borderId="64" xfId="0" applyFont="1" applyFill="1" applyBorder="1" applyAlignment="1" applyProtection="1">
      <alignment horizontal="center" vertical="center" wrapText="1"/>
      <protection hidden="1"/>
    </xf>
    <xf numFmtId="0" fontId="5" fillId="0" borderId="1" xfId="0" applyFont="1" applyFill="1" applyBorder="1" applyAlignment="1" applyProtection="1">
      <alignment horizontal="center" wrapText="1"/>
      <protection hidden="1"/>
    </xf>
    <xf numFmtId="0" fontId="5" fillId="0" borderId="65" xfId="0" applyFont="1" applyFill="1" applyBorder="1" applyAlignment="1" applyProtection="1">
      <alignment horizontal="center" vertical="center" wrapText="1"/>
      <protection hidden="1"/>
    </xf>
    <xf numFmtId="0" fontId="5" fillId="0" borderId="5" xfId="0" applyFont="1" applyFill="1" applyBorder="1" applyAlignment="1" applyProtection="1">
      <alignment horizontal="center" wrapText="1"/>
      <protection hidden="1"/>
    </xf>
    <xf numFmtId="0" fontId="5" fillId="0" borderId="66" xfId="0" applyFont="1" applyBorder="1" applyAlignment="1" applyProtection="1">
      <alignment horizontal="center"/>
      <protection hidden="1"/>
    </xf>
    <xf numFmtId="0" fontId="5" fillId="0" borderId="39" xfId="0" applyFont="1" applyFill="1" applyBorder="1" applyAlignment="1" applyProtection="1">
      <alignment horizontal="center" wrapText="1"/>
      <protection hidden="1"/>
    </xf>
    <xf numFmtId="0" fontId="0" fillId="0" borderId="0" xfId="0" applyAlignment="1" applyProtection="1">
      <alignment horizontal="left"/>
      <protection hidden="1"/>
    </xf>
    <xf numFmtId="0" fontId="5" fillId="0" borderId="67" xfId="0" applyFont="1" applyFill="1" applyBorder="1" applyAlignment="1" applyProtection="1">
      <alignment horizontal="center" vertical="center" wrapText="1"/>
      <protection hidden="1"/>
    </xf>
    <xf numFmtId="0" fontId="5" fillId="7" borderId="30" xfId="0" applyFont="1" applyFill="1" applyBorder="1" applyAlignment="1" applyProtection="1">
      <alignment horizontal="center"/>
      <protection hidden="1"/>
    </xf>
    <xf numFmtId="2" fontId="24" fillId="0" borderId="48" xfId="0" applyNumberFormat="1" applyFont="1" applyFill="1" applyBorder="1" applyAlignment="1" applyProtection="1">
      <alignment horizontal="center" vertical="center"/>
      <protection hidden="1"/>
    </xf>
    <xf numFmtId="2" fontId="24" fillId="0" borderId="68" xfId="0" applyNumberFormat="1" applyFont="1" applyFill="1" applyBorder="1" applyAlignment="1" applyProtection="1">
      <alignment horizontal="center" vertical="center"/>
      <protection hidden="1"/>
    </xf>
    <xf numFmtId="2" fontId="24" fillId="0" borderId="30" xfId="0" applyNumberFormat="1" applyFont="1" applyFill="1" applyBorder="1" applyAlignment="1" applyProtection="1">
      <alignment horizontal="center" vertical="center"/>
      <protection hidden="1"/>
    </xf>
    <xf numFmtId="0" fontId="0" fillId="0" borderId="31" xfId="0" applyBorder="1" applyAlignment="1" applyProtection="1">
      <alignment horizontal="left" vertical="center"/>
      <protection hidden="1"/>
    </xf>
    <xf numFmtId="0" fontId="5" fillId="0" borderId="32" xfId="0" applyFont="1" applyFill="1" applyBorder="1" applyAlignment="1" applyProtection="1">
      <alignment horizontal="center" vertical="center" wrapText="1"/>
      <protection hidden="1"/>
    </xf>
    <xf numFmtId="2" fontId="16" fillId="0" borderId="23" xfId="0" applyNumberFormat="1" applyFont="1" applyFill="1" applyBorder="1" applyAlignment="1" applyProtection="1">
      <alignment horizontal="center" vertical="center"/>
      <protection hidden="1"/>
    </xf>
    <xf numFmtId="0" fontId="0" fillId="0" borderId="33" xfId="0" applyBorder="1" applyProtection="1">
      <protection hidden="1"/>
    </xf>
    <xf numFmtId="0" fontId="5" fillId="0" borderId="18" xfId="0" applyFont="1" applyFill="1" applyBorder="1" applyAlignment="1" applyProtection="1">
      <alignment horizontal="center" vertical="center" wrapText="1"/>
      <protection hidden="1"/>
    </xf>
    <xf numFmtId="2" fontId="16" fillId="0" borderId="19" xfId="0" applyNumberFormat="1" applyFont="1" applyFill="1" applyBorder="1" applyAlignment="1" applyProtection="1">
      <alignment horizontal="center" vertical="center"/>
      <protection hidden="1"/>
    </xf>
    <xf numFmtId="2" fontId="1" fillId="0" borderId="68" xfId="0" quotePrefix="1" applyNumberFormat="1" applyFont="1" applyFill="1" applyBorder="1" applyAlignment="1" applyProtection="1">
      <alignment horizontal="center" vertical="center"/>
      <protection hidden="1"/>
    </xf>
    <xf numFmtId="0" fontId="5" fillId="7" borderId="23" xfId="0" applyFont="1" applyFill="1" applyBorder="1" applyAlignment="1" applyProtection="1">
      <alignment horizontal="center"/>
      <protection hidden="1"/>
    </xf>
    <xf numFmtId="2" fontId="24" fillId="0" borderId="25" xfId="0" applyNumberFormat="1" applyFont="1" applyFill="1" applyBorder="1" applyAlignment="1" applyProtection="1">
      <alignment horizontal="center" vertical="center"/>
      <protection hidden="1"/>
    </xf>
    <xf numFmtId="2" fontId="24" fillId="0" borderId="32" xfId="0" applyNumberFormat="1" applyFont="1" applyFill="1" applyBorder="1" applyAlignment="1" applyProtection="1">
      <alignment horizontal="center" vertical="center"/>
      <protection hidden="1"/>
    </xf>
    <xf numFmtId="2" fontId="24" fillId="0" borderId="23" xfId="0" applyNumberFormat="1" applyFont="1" applyFill="1" applyBorder="1" applyAlignment="1" applyProtection="1">
      <alignment horizontal="center" vertical="center"/>
      <protection hidden="1"/>
    </xf>
    <xf numFmtId="0" fontId="5" fillId="7" borderId="19" xfId="0" applyFont="1" applyFill="1" applyBorder="1" applyAlignment="1" applyProtection="1">
      <alignment horizontal="center"/>
      <protection hidden="1"/>
    </xf>
    <xf numFmtId="2" fontId="24" fillId="0" borderId="61" xfId="0" applyNumberFormat="1" applyFont="1" applyFill="1" applyBorder="1" applyAlignment="1" applyProtection="1">
      <alignment horizontal="center" vertical="center"/>
      <protection hidden="1"/>
    </xf>
    <xf numFmtId="2" fontId="24" fillId="0" borderId="18" xfId="0" applyNumberFormat="1" applyFont="1" applyFill="1" applyBorder="1" applyAlignment="1" applyProtection="1">
      <alignment horizontal="center" vertical="center"/>
      <protection hidden="1"/>
    </xf>
    <xf numFmtId="2" fontId="24" fillId="0" borderId="19" xfId="0" applyNumberFormat="1" applyFont="1" applyFill="1" applyBorder="1" applyAlignment="1" applyProtection="1">
      <alignment horizontal="center" vertical="center"/>
      <protection hidden="1"/>
    </xf>
    <xf numFmtId="3" fontId="11" fillId="3" borderId="7" xfId="0" applyNumberFormat="1" applyFont="1" applyFill="1" applyBorder="1" applyAlignment="1" applyProtection="1">
      <alignment horizontal="center" vertical="center" wrapText="1"/>
      <protection locked="0" hidden="1"/>
    </xf>
    <xf numFmtId="166" fontId="11" fillId="3" borderId="7" xfId="0" applyNumberFormat="1" applyFont="1" applyFill="1" applyBorder="1" applyAlignment="1" applyProtection="1">
      <alignment horizontal="center" vertical="center" wrapText="1"/>
      <protection locked="0" hidden="1"/>
    </xf>
    <xf numFmtId="3" fontId="11" fillId="3" borderId="18" xfId="0" applyNumberFormat="1" applyFont="1" applyFill="1" applyBorder="1" applyAlignment="1" applyProtection="1">
      <alignment horizontal="center" vertical="center" wrapText="1"/>
      <protection locked="0" hidden="1"/>
    </xf>
    <xf numFmtId="166" fontId="11" fillId="3" borderId="18" xfId="0" applyNumberFormat="1" applyFont="1" applyFill="1" applyBorder="1" applyAlignment="1" applyProtection="1">
      <alignment horizontal="center" vertical="center" wrapText="1"/>
      <protection locked="0" hidden="1"/>
    </xf>
    <xf numFmtId="2" fontId="11" fillId="3" borderId="32" xfId="0" applyNumberFormat="1" applyFont="1" applyFill="1" applyBorder="1" applyAlignment="1" applyProtection="1">
      <alignment horizontal="center" vertical="center" wrapText="1"/>
      <protection locked="0" hidden="1"/>
    </xf>
    <xf numFmtId="2" fontId="11" fillId="3" borderId="7" xfId="0" applyNumberFormat="1" applyFont="1" applyFill="1" applyBorder="1" applyAlignment="1" applyProtection="1">
      <alignment horizontal="center" vertical="center" wrapText="1"/>
      <protection locked="0" hidden="1"/>
    </xf>
    <xf numFmtId="2" fontId="11" fillId="3" borderId="18" xfId="0" applyNumberFormat="1" applyFont="1" applyFill="1" applyBorder="1" applyAlignment="1" applyProtection="1">
      <alignment horizontal="center" vertical="center" wrapText="1"/>
      <protection locked="0" hidden="1"/>
    </xf>
    <xf numFmtId="0" fontId="17" fillId="0" borderId="0" xfId="0" applyFont="1" applyProtection="1">
      <protection hidden="1"/>
    </xf>
    <xf numFmtId="0" fontId="25" fillId="0" borderId="0" xfId="0" applyFont="1" applyProtection="1">
      <protection hidden="1"/>
    </xf>
    <xf numFmtId="0" fontId="2" fillId="0" borderId="0" xfId="0" applyFont="1" applyProtection="1">
      <protection hidden="1"/>
    </xf>
    <xf numFmtId="0" fontId="2" fillId="4" borderId="13" xfId="0" applyFont="1" applyFill="1" applyBorder="1" applyProtection="1">
      <protection hidden="1"/>
    </xf>
    <xf numFmtId="0" fontId="5" fillId="4" borderId="13" xfId="0" applyFont="1" applyFill="1" applyBorder="1" applyProtection="1">
      <protection hidden="1"/>
    </xf>
    <xf numFmtId="0" fontId="2" fillId="0" borderId="0" xfId="0" applyFont="1" applyFill="1" applyBorder="1" applyProtection="1">
      <protection hidden="1"/>
    </xf>
    <xf numFmtId="0" fontId="2" fillId="0" borderId="0" xfId="0" applyFont="1" applyAlignment="1" applyProtection="1">
      <alignment horizontal="center"/>
      <protection hidden="1"/>
    </xf>
    <xf numFmtId="0" fontId="5" fillId="0" borderId="0" xfId="0" applyFont="1" applyProtection="1">
      <protection hidden="1"/>
    </xf>
    <xf numFmtId="0" fontId="5" fillId="10" borderId="7" xfId="0" applyFont="1" applyFill="1" applyBorder="1" applyAlignment="1" applyProtection="1">
      <alignment horizontal="left" vertical="center"/>
      <protection hidden="1"/>
    </xf>
    <xf numFmtId="0" fontId="2" fillId="0" borderId="0" xfId="0" applyFont="1" applyBorder="1" applyAlignment="1" applyProtection="1">
      <alignment horizontal="left" vertical="center"/>
      <protection hidden="1"/>
    </xf>
    <xf numFmtId="0" fontId="5" fillId="11" borderId="7" xfId="0" applyFont="1" applyFill="1" applyBorder="1" applyAlignment="1" applyProtection="1">
      <alignment horizontal="left" vertical="center"/>
      <protection hidden="1"/>
    </xf>
    <xf numFmtId="0" fontId="5" fillId="0" borderId="0" xfId="0" applyFont="1" applyBorder="1" applyAlignment="1" applyProtection="1">
      <alignment horizontal="left" vertical="center"/>
      <protection hidden="1"/>
    </xf>
    <xf numFmtId="0" fontId="5" fillId="0" borderId="7" xfId="0" applyFont="1" applyBorder="1" applyAlignment="1" applyProtection="1">
      <alignment horizontal="left" vertical="center"/>
      <protection hidden="1"/>
    </xf>
    <xf numFmtId="0" fontId="5" fillId="12" borderId="7" xfId="0" applyFont="1" applyFill="1" applyBorder="1" applyAlignment="1" applyProtection="1">
      <alignment horizontal="left" vertical="center"/>
      <protection hidden="1"/>
    </xf>
    <xf numFmtId="0" fontId="5" fillId="13" borderId="7" xfId="0" applyFont="1" applyFill="1" applyBorder="1" applyAlignment="1" applyProtection="1">
      <alignment horizontal="left" vertical="center"/>
      <protection hidden="1"/>
    </xf>
    <xf numFmtId="0" fontId="2" fillId="2" borderId="1" xfId="0" applyFont="1" applyFill="1" applyBorder="1" applyProtection="1">
      <protection hidden="1"/>
    </xf>
    <xf numFmtId="0" fontId="2" fillId="2" borderId="2" xfId="0" applyFont="1" applyFill="1" applyBorder="1" applyProtection="1">
      <protection hidden="1"/>
    </xf>
    <xf numFmtId="0" fontId="2" fillId="2" borderId="3" xfId="0" applyFont="1" applyFill="1" applyBorder="1" applyAlignment="1" applyProtection="1">
      <alignment horizontal="center"/>
      <protection hidden="1"/>
    </xf>
    <xf numFmtId="0" fontId="2" fillId="2" borderId="5" xfId="0" applyFont="1" applyFill="1" applyBorder="1" applyProtection="1">
      <protection hidden="1"/>
    </xf>
    <xf numFmtId="0" fontId="2" fillId="2" borderId="6" xfId="0" applyFont="1" applyFill="1" applyBorder="1" applyProtection="1">
      <protection hidden="1"/>
    </xf>
    <xf numFmtId="0" fontId="5" fillId="7" borderId="13" xfId="0" applyFont="1" applyFill="1" applyBorder="1" applyProtection="1">
      <protection hidden="1"/>
    </xf>
    <xf numFmtId="0" fontId="5" fillId="6" borderId="1" xfId="0" applyFont="1" applyFill="1" applyBorder="1" applyProtection="1">
      <protection hidden="1"/>
    </xf>
    <xf numFmtId="0" fontId="5" fillId="6" borderId="2" xfId="0" applyFont="1" applyFill="1" applyBorder="1" applyProtection="1">
      <protection hidden="1"/>
    </xf>
    <xf numFmtId="0" fontId="0" fillId="6" borderId="2" xfId="0" applyFill="1" applyBorder="1" applyAlignment="1" applyProtection="1">
      <alignment horizontal="center"/>
      <protection hidden="1"/>
    </xf>
    <xf numFmtId="165" fontId="2" fillId="8" borderId="3" xfId="0" applyNumberFormat="1" applyFont="1" applyFill="1" applyBorder="1" applyAlignment="1" applyProtection="1">
      <alignment horizontal="center"/>
      <protection hidden="1"/>
    </xf>
    <xf numFmtId="165" fontId="2" fillId="8" borderId="2" xfId="0" applyNumberFormat="1" applyFont="1" applyFill="1" applyBorder="1" applyAlignment="1" applyProtection="1">
      <alignment horizontal="center"/>
      <protection hidden="1"/>
    </xf>
    <xf numFmtId="165" fontId="2" fillId="8" borderId="4" xfId="0" applyNumberFormat="1" applyFont="1" applyFill="1" applyBorder="1" applyAlignment="1" applyProtection="1">
      <alignment horizontal="center"/>
      <protection hidden="1"/>
    </xf>
    <xf numFmtId="0" fontId="5" fillId="6" borderId="16" xfId="0" applyFont="1" applyFill="1" applyBorder="1" applyProtection="1">
      <protection hidden="1"/>
    </xf>
    <xf numFmtId="0" fontId="5" fillId="6" borderId="17" xfId="0" applyFont="1" applyFill="1" applyBorder="1" applyProtection="1">
      <protection hidden="1"/>
    </xf>
    <xf numFmtId="0" fontId="5" fillId="6" borderId="17" xfId="0" applyFont="1" applyFill="1" applyBorder="1" applyAlignment="1" applyProtection="1">
      <alignment horizontal="center"/>
      <protection hidden="1"/>
    </xf>
    <xf numFmtId="165" fontId="2" fillId="8" borderId="34" xfId="0" applyNumberFormat="1" applyFont="1" applyFill="1" applyBorder="1" applyAlignment="1" applyProtection="1">
      <alignment horizontal="center"/>
      <protection hidden="1"/>
    </xf>
    <xf numFmtId="165" fontId="2" fillId="8" borderId="17" xfId="0" applyNumberFormat="1" applyFont="1" applyFill="1" applyBorder="1" applyAlignment="1" applyProtection="1">
      <alignment horizontal="center"/>
      <protection hidden="1"/>
    </xf>
    <xf numFmtId="165" fontId="2" fillId="8" borderId="60" xfId="0" applyNumberFormat="1" applyFont="1" applyFill="1" applyBorder="1" applyAlignment="1" applyProtection="1">
      <alignment horizontal="center"/>
      <protection hidden="1"/>
    </xf>
    <xf numFmtId="165" fontId="12" fillId="0" borderId="0" xfId="0" applyNumberFormat="1" applyFont="1" applyFill="1" applyBorder="1" applyAlignment="1" applyProtection="1">
      <alignment horizontal="center"/>
      <protection hidden="1"/>
    </xf>
    <xf numFmtId="165" fontId="2" fillId="0" borderId="0" xfId="0" applyNumberFormat="1" applyFont="1" applyFill="1" applyBorder="1" applyAlignment="1" applyProtection="1">
      <alignment horizontal="center"/>
      <protection hidden="1"/>
    </xf>
    <xf numFmtId="0" fontId="0" fillId="0" borderId="0" xfId="0" applyFill="1" applyAlignment="1" applyProtection="1">
      <alignment horizontal="center"/>
      <protection hidden="1"/>
    </xf>
    <xf numFmtId="0" fontId="0" fillId="7" borderId="32" xfId="0" applyFont="1" applyFill="1" applyBorder="1" applyAlignment="1" applyProtection="1">
      <alignment horizontal="center"/>
      <protection hidden="1"/>
    </xf>
    <xf numFmtId="165" fontId="0" fillId="7" borderId="32" xfId="0" applyNumberFormat="1" applyFill="1" applyBorder="1" applyAlignment="1" applyProtection="1">
      <alignment horizontal="center"/>
      <protection hidden="1"/>
    </xf>
    <xf numFmtId="165" fontId="0" fillId="7" borderId="23" xfId="0" applyNumberFormat="1" applyFill="1" applyBorder="1" applyAlignment="1" applyProtection="1">
      <alignment horizontal="center"/>
      <protection hidden="1"/>
    </xf>
    <xf numFmtId="0" fontId="2" fillId="7" borderId="7" xfId="0" applyFont="1" applyFill="1" applyBorder="1" applyAlignment="1" applyProtection="1">
      <alignment horizontal="center"/>
      <protection hidden="1"/>
    </xf>
    <xf numFmtId="0" fontId="5" fillId="7" borderId="7" xfId="0" applyFont="1" applyFill="1" applyBorder="1" applyAlignment="1" applyProtection="1">
      <alignment horizontal="center"/>
      <protection hidden="1"/>
    </xf>
    <xf numFmtId="165" fontId="0" fillId="0" borderId="7" xfId="0" applyNumberFormat="1" applyFill="1" applyBorder="1" applyAlignment="1" applyProtection="1">
      <alignment horizontal="center"/>
      <protection hidden="1"/>
    </xf>
    <xf numFmtId="165" fontId="0" fillId="0" borderId="28" xfId="0" applyNumberFormat="1" applyFill="1" applyBorder="1" applyAlignment="1" applyProtection="1">
      <alignment horizontal="center"/>
      <protection hidden="1"/>
    </xf>
    <xf numFmtId="165" fontId="0" fillId="7" borderId="18" xfId="0" applyNumberFormat="1" applyFill="1" applyBorder="1" applyAlignment="1" applyProtection="1">
      <alignment horizontal="center"/>
      <protection hidden="1"/>
    </xf>
    <xf numFmtId="165" fontId="0" fillId="7" borderId="19" xfId="0" applyNumberFormat="1" applyFill="1" applyBorder="1" applyAlignment="1" applyProtection="1">
      <alignment horizontal="center"/>
      <protection hidden="1"/>
    </xf>
    <xf numFmtId="165" fontId="0" fillId="0" borderId="0" xfId="0" applyNumberFormat="1" applyAlignment="1" applyProtection="1">
      <alignment horizontal="center"/>
      <protection hidden="1"/>
    </xf>
    <xf numFmtId="0" fontId="5" fillId="0" borderId="0" xfId="0" applyFont="1" applyAlignment="1" applyProtection="1">
      <alignment horizontal="center"/>
      <protection hidden="1"/>
    </xf>
    <xf numFmtId="165" fontId="0" fillId="2" borderId="3" xfId="0" applyNumberFormat="1" applyFill="1" applyBorder="1" applyAlignment="1" applyProtection="1">
      <alignment horizontal="center"/>
      <protection hidden="1"/>
    </xf>
    <xf numFmtId="165" fontId="0" fillId="2" borderId="2" xfId="0" applyNumberFormat="1" applyFill="1" applyBorder="1" applyAlignment="1" applyProtection="1">
      <alignment horizontal="center"/>
      <protection hidden="1"/>
    </xf>
    <xf numFmtId="165" fontId="0" fillId="2" borderId="4" xfId="0" applyNumberFormat="1" applyFill="1" applyBorder="1" applyAlignment="1" applyProtection="1">
      <alignment horizontal="center"/>
      <protection hidden="1"/>
    </xf>
    <xf numFmtId="0" fontId="5" fillId="2" borderId="5" xfId="0" applyFont="1" applyFill="1" applyBorder="1" applyAlignment="1" applyProtection="1">
      <alignment horizontal="left"/>
      <protection hidden="1"/>
    </xf>
    <xf numFmtId="1" fontId="0" fillId="0" borderId="27" xfId="0" applyNumberFormat="1" applyBorder="1" applyAlignment="1" applyProtection="1">
      <alignment horizontal="center"/>
      <protection hidden="1"/>
    </xf>
    <xf numFmtId="1" fontId="0" fillId="0" borderId="28" xfId="0" applyNumberFormat="1" applyBorder="1" applyAlignment="1" applyProtection="1">
      <alignment horizontal="center"/>
      <protection hidden="1"/>
    </xf>
    <xf numFmtId="0" fontId="5" fillId="2" borderId="16" xfId="0" applyFont="1" applyFill="1" applyBorder="1" applyAlignment="1" applyProtection="1">
      <alignment horizontal="left"/>
      <protection hidden="1"/>
    </xf>
    <xf numFmtId="1" fontId="0" fillId="0" borderId="34" xfId="0" applyNumberFormat="1" applyBorder="1" applyAlignment="1" applyProtection="1">
      <alignment horizontal="center"/>
      <protection hidden="1"/>
    </xf>
    <xf numFmtId="1" fontId="0" fillId="0" borderId="35" xfId="0" applyNumberFormat="1" applyBorder="1" applyAlignment="1" applyProtection="1">
      <alignment horizontal="center"/>
      <protection hidden="1"/>
    </xf>
    <xf numFmtId="1" fontId="2" fillId="8" borderId="27" xfId="0" applyNumberFormat="1" applyFont="1" applyFill="1" applyBorder="1" applyAlignment="1" applyProtection="1">
      <alignment horizontal="center"/>
      <protection hidden="1"/>
    </xf>
    <xf numFmtId="1" fontId="2" fillId="8" borderId="28" xfId="0" applyNumberFormat="1" applyFont="1" applyFill="1" applyBorder="1" applyAlignment="1" applyProtection="1">
      <alignment horizontal="center"/>
      <protection hidden="1"/>
    </xf>
    <xf numFmtId="1" fontId="2" fillId="8" borderId="34" xfId="0" applyNumberFormat="1" applyFont="1" applyFill="1" applyBorder="1" applyAlignment="1" applyProtection="1">
      <alignment horizontal="center"/>
      <protection hidden="1"/>
    </xf>
    <xf numFmtId="1" fontId="2" fillId="8" borderId="35" xfId="0" applyNumberFormat="1" applyFont="1" applyFill="1" applyBorder="1" applyAlignment="1" applyProtection="1">
      <alignment horizontal="center"/>
      <protection hidden="1"/>
    </xf>
    <xf numFmtId="0" fontId="9" fillId="0" borderId="0" xfId="0" applyFont="1" applyFill="1" applyBorder="1" applyAlignment="1" applyProtection="1">
      <alignment horizontal="center"/>
      <protection hidden="1"/>
    </xf>
    <xf numFmtId="165" fontId="0" fillId="0" borderId="0" xfId="0" applyNumberFormat="1" applyFill="1" applyAlignment="1" applyProtection="1">
      <alignment horizontal="center"/>
      <protection hidden="1"/>
    </xf>
    <xf numFmtId="0" fontId="8" fillId="2" borderId="41" xfId="0" applyFont="1" applyFill="1" applyBorder="1" applyProtection="1">
      <protection hidden="1"/>
    </xf>
    <xf numFmtId="0" fontId="8" fillId="2" borderId="42" xfId="0" applyFont="1" applyFill="1" applyBorder="1" applyProtection="1">
      <protection hidden="1"/>
    </xf>
    <xf numFmtId="0" fontId="9" fillId="2" borderId="32" xfId="0" applyFont="1" applyFill="1" applyBorder="1" applyAlignment="1" applyProtection="1">
      <alignment horizontal="center"/>
      <protection hidden="1"/>
    </xf>
    <xf numFmtId="165" fontId="18" fillId="2" borderId="32" xfId="0" applyNumberFormat="1" applyFont="1" applyFill="1" applyBorder="1" applyAlignment="1" applyProtection="1">
      <alignment horizontal="center" wrapText="1"/>
      <protection hidden="1"/>
    </xf>
    <xf numFmtId="165" fontId="18" fillId="2" borderId="23" xfId="0" applyNumberFormat="1" applyFont="1" applyFill="1" applyBorder="1" applyAlignment="1" applyProtection="1">
      <alignment horizontal="center" wrapText="1"/>
      <protection hidden="1"/>
    </xf>
    <xf numFmtId="0" fontId="8" fillId="0" borderId="0" xfId="0" applyFont="1" applyProtection="1">
      <protection hidden="1"/>
    </xf>
    <xf numFmtId="0" fontId="0" fillId="2" borderId="7" xfId="0" applyFill="1" applyBorder="1" applyAlignment="1" applyProtection="1">
      <alignment horizontal="center"/>
      <protection hidden="1"/>
    </xf>
    <xf numFmtId="165" fontId="2" fillId="9" borderId="7" xfId="0" applyNumberFormat="1" applyFont="1" applyFill="1" applyBorder="1" applyAlignment="1" applyProtection="1">
      <alignment horizontal="center"/>
      <protection hidden="1"/>
    </xf>
    <xf numFmtId="0" fontId="0" fillId="2" borderId="18" xfId="0" applyFill="1" applyBorder="1" applyAlignment="1" applyProtection="1">
      <alignment horizontal="center"/>
      <protection hidden="1"/>
    </xf>
    <xf numFmtId="165" fontId="2" fillId="9" borderId="18" xfId="0" applyNumberFormat="1" applyFont="1" applyFill="1" applyBorder="1" applyAlignment="1" applyProtection="1">
      <alignment horizontal="center"/>
      <protection hidden="1"/>
    </xf>
    <xf numFmtId="165" fontId="0" fillId="0" borderId="18" xfId="0" applyNumberFormat="1" applyFill="1" applyBorder="1" applyAlignment="1" applyProtection="1">
      <alignment horizontal="center"/>
      <protection hidden="1"/>
    </xf>
    <xf numFmtId="165" fontId="0" fillId="0" borderId="19" xfId="0" applyNumberFormat="1" applyFill="1" applyBorder="1" applyAlignment="1" applyProtection="1">
      <alignment horizontal="center"/>
      <protection hidden="1"/>
    </xf>
    <xf numFmtId="0" fontId="12" fillId="0" borderId="0" xfId="0" applyFont="1" applyProtection="1">
      <protection hidden="1"/>
    </xf>
    <xf numFmtId="0" fontId="6" fillId="3" borderId="27" xfId="0" applyFont="1" applyFill="1" applyBorder="1" applyAlignment="1" applyProtection="1">
      <alignment horizontal="center"/>
      <protection locked="0" hidden="1"/>
    </xf>
    <xf numFmtId="0" fontId="6" fillId="3" borderId="6" xfId="0" applyFont="1" applyFill="1" applyBorder="1" applyAlignment="1" applyProtection="1">
      <alignment horizontal="center"/>
      <protection locked="0" hidden="1"/>
    </xf>
    <xf numFmtId="0" fontId="6" fillId="3" borderId="13" xfId="0" applyFont="1" applyFill="1" applyBorder="1" applyAlignment="1" applyProtection="1">
      <alignment horizontal="center"/>
      <protection locked="0" hidden="1"/>
    </xf>
    <xf numFmtId="0" fontId="6" fillId="3" borderId="8" xfId="0" applyFont="1" applyFill="1" applyBorder="1" applyAlignment="1" applyProtection="1">
      <alignment horizontal="center"/>
      <protection locked="0" hidden="1"/>
    </xf>
    <xf numFmtId="0" fontId="7" fillId="3" borderId="10" xfId="0" applyFont="1" applyFill="1" applyBorder="1" applyAlignment="1" applyProtection="1">
      <alignment horizontal="center"/>
      <protection locked="0" hidden="1"/>
    </xf>
    <xf numFmtId="0" fontId="7" fillId="3" borderId="0" xfId="0" applyFont="1" applyFill="1" applyBorder="1" applyAlignment="1" applyProtection="1">
      <alignment horizontal="center"/>
      <protection locked="0" hidden="1"/>
    </xf>
    <xf numFmtId="0" fontId="1" fillId="3" borderId="0" xfId="0" applyFont="1" applyFill="1" applyBorder="1" applyAlignment="1" applyProtection="1">
      <alignment horizontal="center"/>
      <protection locked="0" hidden="1"/>
    </xf>
    <xf numFmtId="0" fontId="7" fillId="3" borderId="71" xfId="0" applyFont="1" applyFill="1" applyBorder="1" applyAlignment="1" applyProtection="1">
      <alignment horizontal="center"/>
      <protection locked="0" hidden="1"/>
    </xf>
    <xf numFmtId="0" fontId="7" fillId="3" borderId="14" xfId="0" applyFont="1" applyFill="1" applyBorder="1" applyAlignment="1" applyProtection="1">
      <alignment horizontal="center"/>
      <protection locked="0" hidden="1"/>
    </xf>
    <xf numFmtId="0" fontId="7" fillId="3" borderId="13" xfId="0" applyFont="1" applyFill="1" applyBorder="1" applyAlignment="1" applyProtection="1">
      <alignment horizontal="center"/>
      <protection locked="0" hidden="1"/>
    </xf>
    <xf numFmtId="0" fontId="7" fillId="3" borderId="62" xfId="0" applyFont="1" applyFill="1" applyBorder="1" applyAlignment="1" applyProtection="1">
      <alignment horizontal="center"/>
      <protection locked="0" hidden="1"/>
    </xf>
    <xf numFmtId="165" fontId="2" fillId="10" borderId="7" xfId="0" applyNumberFormat="1" applyFont="1" applyFill="1" applyBorder="1" applyAlignment="1" applyProtection="1">
      <alignment horizontal="center"/>
      <protection locked="0" hidden="1"/>
    </xf>
    <xf numFmtId="165" fontId="2" fillId="10" borderId="28" xfId="0" applyNumberFormat="1" applyFont="1" applyFill="1" applyBorder="1" applyAlignment="1" applyProtection="1">
      <alignment horizontal="center"/>
      <protection locked="0" hidden="1"/>
    </xf>
    <xf numFmtId="0" fontId="6" fillId="0" borderId="6" xfId="0" applyFont="1" applyFill="1" applyBorder="1" applyAlignment="1" applyProtection="1">
      <alignment horizontal="center"/>
      <protection hidden="1"/>
    </xf>
    <xf numFmtId="0" fontId="6" fillId="0" borderId="8" xfId="0" applyFont="1" applyFill="1" applyBorder="1" applyAlignment="1" applyProtection="1">
      <alignment horizontal="center"/>
      <protection hidden="1"/>
    </xf>
    <xf numFmtId="0" fontId="0" fillId="2" borderId="50" xfId="0" applyFill="1" applyBorder="1" applyAlignment="1" applyProtection="1">
      <alignment horizontal="center"/>
      <protection hidden="1"/>
    </xf>
    <xf numFmtId="0" fontId="0" fillId="7" borderId="16" xfId="0" applyFill="1" applyBorder="1" applyProtection="1">
      <protection hidden="1"/>
    </xf>
    <xf numFmtId="0" fontId="0" fillId="2" borderId="72" xfId="0" applyFill="1" applyBorder="1" applyAlignment="1" applyProtection="1">
      <alignment horizontal="center"/>
      <protection hidden="1"/>
    </xf>
    <xf numFmtId="165" fontId="7" fillId="0" borderId="0" xfId="0" applyNumberFormat="1" applyFont="1" applyFill="1" applyBorder="1" applyAlignment="1" applyProtection="1">
      <alignment horizontal="center" vertical="center"/>
      <protection hidden="1"/>
    </xf>
    <xf numFmtId="0" fontId="0" fillId="6" borderId="2" xfId="0" applyFill="1" applyBorder="1" applyProtection="1">
      <protection hidden="1"/>
    </xf>
    <xf numFmtId="0" fontId="5" fillId="6" borderId="25" xfId="0" applyFont="1" applyFill="1" applyBorder="1" applyAlignment="1" applyProtection="1">
      <alignment horizontal="center"/>
      <protection hidden="1"/>
    </xf>
    <xf numFmtId="0" fontId="5" fillId="2" borderId="50" xfId="0" applyFont="1" applyFill="1" applyBorder="1" applyAlignment="1" applyProtection="1">
      <alignment horizontal="center"/>
      <protection hidden="1"/>
    </xf>
    <xf numFmtId="0" fontId="5" fillId="6" borderId="26" xfId="0" applyFont="1" applyFill="1" applyBorder="1" applyAlignment="1" applyProtection="1">
      <alignment horizontal="center"/>
      <protection hidden="1"/>
    </xf>
    <xf numFmtId="0" fontId="8" fillId="2" borderId="50" xfId="0" applyFont="1" applyFill="1" applyBorder="1" applyAlignment="1" applyProtection="1">
      <alignment horizontal="center"/>
      <protection hidden="1"/>
    </xf>
    <xf numFmtId="0" fontId="8" fillId="2" borderId="26" xfId="0" applyFont="1" applyFill="1" applyBorder="1" applyAlignment="1" applyProtection="1">
      <alignment horizontal="center"/>
      <protection hidden="1"/>
    </xf>
    <xf numFmtId="0" fontId="5" fillId="6" borderId="9" xfId="0" applyFont="1" applyFill="1" applyBorder="1" applyProtection="1">
      <protection hidden="1"/>
    </xf>
    <xf numFmtId="0" fontId="5" fillId="6" borderId="0" xfId="0" applyFont="1" applyFill="1" applyBorder="1" applyProtection="1">
      <protection hidden="1"/>
    </xf>
    <xf numFmtId="2" fontId="7" fillId="8" borderId="0" xfId="0" applyNumberFormat="1" applyFont="1" applyFill="1" applyBorder="1" applyAlignment="1" applyProtection="1">
      <alignment horizontal="center" vertical="center"/>
      <protection hidden="1"/>
    </xf>
    <xf numFmtId="2" fontId="7" fillId="8" borderId="71" xfId="0" applyNumberFormat="1" applyFont="1" applyFill="1" applyBorder="1" applyAlignment="1" applyProtection="1">
      <alignment horizontal="center" vertical="center"/>
      <protection hidden="1"/>
    </xf>
    <xf numFmtId="0" fontId="0" fillId="6" borderId="17" xfId="0" applyFill="1" applyBorder="1" applyProtection="1">
      <protection hidden="1"/>
    </xf>
    <xf numFmtId="0" fontId="5" fillId="2" borderId="72" xfId="0" applyFont="1" applyFill="1" applyBorder="1" applyAlignment="1" applyProtection="1">
      <alignment horizontal="center"/>
      <protection hidden="1"/>
    </xf>
    <xf numFmtId="2" fontId="7" fillId="8" borderId="17" xfId="0" applyNumberFormat="1" applyFont="1" applyFill="1" applyBorder="1" applyAlignment="1" applyProtection="1">
      <alignment horizontal="center" vertical="center"/>
      <protection hidden="1"/>
    </xf>
    <xf numFmtId="2" fontId="7" fillId="8" borderId="60" xfId="0" applyNumberFormat="1" applyFont="1" applyFill="1" applyBorder="1" applyAlignment="1" applyProtection="1">
      <alignment horizontal="center" vertical="center"/>
      <protection hidden="1"/>
    </xf>
    <xf numFmtId="0" fontId="5" fillId="6" borderId="41" xfId="0" applyFont="1" applyFill="1" applyBorder="1" applyProtection="1">
      <protection hidden="1"/>
    </xf>
    <xf numFmtId="0" fontId="0" fillId="6" borderId="42" xfId="0" applyFill="1" applyBorder="1" applyProtection="1">
      <protection hidden="1"/>
    </xf>
    <xf numFmtId="0" fontId="5" fillId="6" borderId="73" xfId="0" applyFont="1" applyFill="1" applyBorder="1" applyAlignment="1" applyProtection="1">
      <alignment horizontal="center"/>
      <protection hidden="1"/>
    </xf>
    <xf numFmtId="0" fontId="0" fillId="6" borderId="0" xfId="0" applyFill="1" applyBorder="1" applyProtection="1">
      <protection hidden="1"/>
    </xf>
    <xf numFmtId="0" fontId="0" fillId="6" borderId="50" xfId="0" applyFill="1" applyBorder="1" applyAlignment="1" applyProtection="1">
      <alignment horizontal="center"/>
      <protection hidden="1"/>
    </xf>
    <xf numFmtId="165" fontId="7" fillId="0" borderId="13" xfId="0" applyNumberFormat="1" applyFont="1" applyFill="1" applyBorder="1" applyAlignment="1" applyProtection="1">
      <alignment horizontal="center" vertical="center"/>
      <protection hidden="1"/>
    </xf>
    <xf numFmtId="165" fontId="7" fillId="0" borderId="62" xfId="0" applyNumberFormat="1" applyFont="1" applyFill="1" applyBorder="1" applyAlignment="1" applyProtection="1">
      <alignment horizontal="center" vertical="center"/>
      <protection hidden="1"/>
    </xf>
    <xf numFmtId="0" fontId="1" fillId="2" borderId="50" xfId="0" applyFont="1" applyFill="1" applyBorder="1" applyAlignment="1" applyProtection="1">
      <alignment horizontal="center"/>
      <protection hidden="1"/>
    </xf>
    <xf numFmtId="0" fontId="0" fillId="2" borderId="26" xfId="0" applyFill="1" applyBorder="1" applyAlignment="1" applyProtection="1">
      <alignment horizontal="center"/>
      <protection hidden="1"/>
    </xf>
    <xf numFmtId="0" fontId="0" fillId="7" borderId="5" xfId="0" applyFill="1" applyBorder="1" applyProtection="1">
      <protection hidden="1"/>
    </xf>
    <xf numFmtId="0" fontId="0" fillId="2" borderId="45" xfId="0" applyFill="1" applyBorder="1" applyAlignment="1" applyProtection="1">
      <alignment horizontal="center"/>
      <protection hidden="1"/>
    </xf>
    <xf numFmtId="0" fontId="5" fillId="6" borderId="12" xfId="0" applyFont="1" applyFill="1" applyBorder="1" applyProtection="1">
      <protection hidden="1"/>
    </xf>
    <xf numFmtId="0" fontId="0" fillId="6" borderId="13" xfId="0" applyFill="1" applyBorder="1" applyProtection="1">
      <protection hidden="1"/>
    </xf>
    <xf numFmtId="0" fontId="0" fillId="6" borderId="26" xfId="0" applyFill="1" applyBorder="1" applyAlignment="1" applyProtection="1">
      <alignment horizontal="center"/>
      <protection hidden="1"/>
    </xf>
    <xf numFmtId="0" fontId="2" fillId="2" borderId="39" xfId="0" applyFont="1" applyFill="1" applyBorder="1" applyProtection="1">
      <protection hidden="1"/>
    </xf>
    <xf numFmtId="0" fontId="2" fillId="2" borderId="40" xfId="0" applyFont="1" applyFill="1" applyBorder="1" applyProtection="1">
      <protection hidden="1"/>
    </xf>
    <xf numFmtId="0" fontId="2" fillId="2" borderId="61" xfId="0" applyFont="1" applyFill="1" applyBorder="1" applyAlignment="1" applyProtection="1">
      <alignment horizontal="center"/>
      <protection hidden="1"/>
    </xf>
    <xf numFmtId="165" fontId="2" fillId="8" borderId="40" xfId="0" applyNumberFormat="1" applyFont="1" applyFill="1" applyBorder="1" applyAlignment="1" applyProtection="1">
      <alignment horizontal="center"/>
      <protection hidden="1"/>
    </xf>
    <xf numFmtId="165" fontId="2" fillId="8" borderId="74" xfId="0" applyNumberFormat="1" applyFont="1" applyFill="1" applyBorder="1" applyAlignment="1" applyProtection="1">
      <alignment horizontal="center"/>
      <protection hidden="1"/>
    </xf>
    <xf numFmtId="0" fontId="0" fillId="0" borderId="0" xfId="0" applyFont="1" applyFill="1" applyBorder="1" applyProtection="1">
      <protection hidden="1"/>
    </xf>
    <xf numFmtId="0" fontId="5" fillId="6" borderId="23" xfId="0" applyFont="1" applyFill="1" applyBorder="1" applyAlignment="1" applyProtection="1">
      <alignment horizontal="center"/>
      <protection hidden="1"/>
    </xf>
    <xf numFmtId="0" fontId="0" fillId="6" borderId="4" xfId="0" applyFill="1" applyBorder="1" applyProtection="1">
      <protection hidden="1"/>
    </xf>
    <xf numFmtId="0" fontId="0" fillId="9" borderId="7" xfId="0" applyFill="1" applyBorder="1" applyAlignment="1" applyProtection="1">
      <alignment horizontal="center"/>
      <protection hidden="1"/>
    </xf>
    <xf numFmtId="2" fontId="24" fillId="0" borderId="28" xfId="0" applyNumberFormat="1" applyFont="1" applyFill="1" applyBorder="1" applyAlignment="1" applyProtection="1">
      <alignment horizontal="center"/>
      <protection hidden="1"/>
    </xf>
    <xf numFmtId="0" fontId="5" fillId="6" borderId="69" xfId="0" applyFont="1" applyFill="1" applyBorder="1" applyAlignment="1" applyProtection="1">
      <alignment horizontal="center"/>
      <protection hidden="1"/>
    </xf>
    <xf numFmtId="0" fontId="5" fillId="6" borderId="57" xfId="0" applyFont="1" applyFill="1" applyBorder="1" applyAlignment="1" applyProtection="1">
      <alignment horizontal="center"/>
      <protection hidden="1"/>
    </xf>
    <xf numFmtId="0" fontId="5" fillId="6" borderId="15" xfId="0" applyFont="1" applyFill="1" applyBorder="1" applyAlignment="1" applyProtection="1">
      <alignment horizontal="center"/>
      <protection hidden="1"/>
    </xf>
    <xf numFmtId="0" fontId="1" fillId="0" borderId="54" xfId="0" applyFont="1" applyBorder="1" applyAlignment="1" applyProtection="1">
      <alignment horizontal="center"/>
      <protection hidden="1"/>
    </xf>
    <xf numFmtId="0" fontId="24" fillId="0" borderId="7" xfId="0" applyFont="1" applyFill="1" applyBorder="1" applyAlignment="1" applyProtection="1">
      <alignment horizontal="center"/>
      <protection hidden="1"/>
    </xf>
    <xf numFmtId="0" fontId="1" fillId="0" borderId="7" xfId="0" applyFont="1" applyFill="1" applyBorder="1" applyAlignment="1" applyProtection="1">
      <alignment horizontal="center"/>
      <protection hidden="1"/>
    </xf>
    <xf numFmtId="0" fontId="24" fillId="0" borderId="28" xfId="0" applyFont="1" applyFill="1" applyBorder="1" applyAlignment="1" applyProtection="1">
      <alignment horizontal="center"/>
      <protection hidden="1"/>
    </xf>
    <xf numFmtId="2" fontId="24" fillId="0" borderId="19" xfId="0" applyNumberFormat="1" applyFont="1" applyFill="1" applyBorder="1" applyAlignment="1" applyProtection="1">
      <alignment horizontal="center"/>
      <protection hidden="1"/>
    </xf>
    <xf numFmtId="0" fontId="19" fillId="0" borderId="0" xfId="0" applyFont="1" applyProtection="1">
      <protection hidden="1"/>
    </xf>
    <xf numFmtId="0" fontId="0" fillId="9" borderId="68" xfId="0" applyFill="1" applyBorder="1" applyAlignment="1" applyProtection="1">
      <alignment horizontal="center"/>
      <protection hidden="1"/>
    </xf>
    <xf numFmtId="0" fontId="0" fillId="9" borderId="18" xfId="0" applyFill="1" applyBorder="1" applyAlignment="1" applyProtection="1">
      <alignment horizontal="center"/>
      <protection hidden="1"/>
    </xf>
    <xf numFmtId="0" fontId="1" fillId="0" borderId="33" xfId="0" applyFont="1" applyBorder="1" applyAlignment="1" applyProtection="1">
      <alignment horizontal="center"/>
      <protection hidden="1"/>
    </xf>
    <xf numFmtId="0" fontId="24" fillId="0" borderId="18" xfId="0" applyFont="1" applyFill="1" applyBorder="1" applyAlignment="1" applyProtection="1">
      <alignment horizontal="center"/>
      <protection hidden="1"/>
    </xf>
    <xf numFmtId="0" fontId="1" fillId="0" borderId="18" xfId="0" applyFont="1" applyFill="1" applyBorder="1" applyAlignment="1" applyProtection="1">
      <alignment horizontal="center"/>
      <protection hidden="1"/>
    </xf>
    <xf numFmtId="0" fontId="24" fillId="0" borderId="19" xfId="0" applyFont="1" applyFill="1" applyBorder="1" applyAlignment="1" applyProtection="1">
      <alignment horizontal="center"/>
      <protection hidden="1"/>
    </xf>
    <xf numFmtId="0" fontId="7" fillId="3" borderId="0" xfId="0" applyFont="1" applyFill="1" applyBorder="1" applyAlignment="1" applyProtection="1">
      <alignment horizontal="center" vertical="center"/>
      <protection locked="0" hidden="1"/>
    </xf>
    <xf numFmtId="0" fontId="7" fillId="3" borderId="71" xfId="0" applyFont="1" applyFill="1" applyBorder="1" applyAlignment="1" applyProtection="1">
      <alignment horizontal="center" vertical="center"/>
      <protection locked="0" hidden="1"/>
    </xf>
    <xf numFmtId="0" fontId="7" fillId="3" borderId="17" xfId="0" applyFont="1" applyFill="1" applyBorder="1" applyAlignment="1" applyProtection="1">
      <alignment horizontal="center" vertical="center"/>
      <protection locked="0" hidden="1"/>
    </xf>
    <xf numFmtId="0" fontId="7" fillId="3" borderId="60" xfId="0" applyFont="1" applyFill="1" applyBorder="1" applyAlignment="1" applyProtection="1">
      <alignment horizontal="center" vertical="center"/>
      <protection locked="0" hidden="1"/>
    </xf>
    <xf numFmtId="2" fontId="7" fillId="10" borderId="3" xfId="0" applyNumberFormat="1" applyFont="1" applyFill="1" applyBorder="1" applyAlignment="1" applyProtection="1">
      <alignment horizontal="center" vertical="center"/>
      <protection locked="0" hidden="1"/>
    </xf>
    <xf numFmtId="2" fontId="7" fillId="10" borderId="2" xfId="0" applyNumberFormat="1" applyFont="1" applyFill="1" applyBorder="1" applyAlignment="1" applyProtection="1">
      <alignment horizontal="center" vertical="center"/>
      <protection locked="0" hidden="1"/>
    </xf>
    <xf numFmtId="2" fontId="7" fillId="10" borderId="4" xfId="0" applyNumberFormat="1" applyFont="1" applyFill="1" applyBorder="1" applyAlignment="1" applyProtection="1">
      <alignment horizontal="center" vertical="center"/>
      <protection locked="0" hidden="1"/>
    </xf>
    <xf numFmtId="165" fontId="7" fillId="10" borderId="0" xfId="0" applyNumberFormat="1" applyFont="1" applyFill="1" applyBorder="1" applyAlignment="1" applyProtection="1">
      <alignment horizontal="center" vertical="center"/>
      <protection locked="0" hidden="1"/>
    </xf>
    <xf numFmtId="165" fontId="7" fillId="10" borderId="71" xfId="0" applyNumberFormat="1" applyFont="1" applyFill="1" applyBorder="1" applyAlignment="1" applyProtection="1">
      <alignment horizontal="center" vertical="center"/>
      <protection locked="0" hidden="1"/>
    </xf>
    <xf numFmtId="165" fontId="1" fillId="10" borderId="0" xfId="0" applyNumberFormat="1" applyFont="1" applyFill="1" applyBorder="1" applyAlignment="1" applyProtection="1">
      <alignment horizontal="center" vertical="center"/>
      <protection locked="0" hidden="1"/>
    </xf>
    <xf numFmtId="165" fontId="1" fillId="10" borderId="14" xfId="0" applyNumberFormat="1" applyFont="1" applyFill="1" applyBorder="1" applyAlignment="1" applyProtection="1">
      <alignment horizontal="center" vertical="center"/>
      <protection locked="0" hidden="1"/>
    </xf>
    <xf numFmtId="165" fontId="7" fillId="10" borderId="13" xfId="0" applyNumberFormat="1" applyFont="1" applyFill="1" applyBorder="1" applyAlignment="1" applyProtection="1">
      <alignment horizontal="center" vertical="center"/>
      <protection locked="0" hidden="1"/>
    </xf>
    <xf numFmtId="165" fontId="7" fillId="10" borderId="62" xfId="0" applyNumberFormat="1" applyFont="1" applyFill="1" applyBorder="1" applyAlignment="1" applyProtection="1">
      <alignment horizontal="center" vertical="center"/>
      <protection locked="0" hidden="1"/>
    </xf>
    <xf numFmtId="2" fontId="7" fillId="10" borderId="0" xfId="0" applyNumberFormat="1" applyFont="1" applyFill="1" applyBorder="1" applyAlignment="1" applyProtection="1">
      <alignment horizontal="center" vertical="center"/>
      <protection locked="0" hidden="1"/>
    </xf>
    <xf numFmtId="2" fontId="1" fillId="10" borderId="0" xfId="0" applyNumberFormat="1" applyFont="1" applyFill="1" applyBorder="1" applyAlignment="1" applyProtection="1">
      <alignment horizontal="center" vertical="center"/>
      <protection locked="0" hidden="1"/>
    </xf>
    <xf numFmtId="2" fontId="7" fillId="10" borderId="71" xfId="0" applyNumberFormat="1" applyFont="1" applyFill="1" applyBorder="1" applyAlignment="1" applyProtection="1">
      <alignment horizontal="center" vertical="center"/>
      <protection locked="0" hidden="1"/>
    </xf>
    <xf numFmtId="2" fontId="7" fillId="10" borderId="14" xfId="0" applyNumberFormat="1" applyFont="1" applyFill="1" applyBorder="1" applyAlignment="1" applyProtection="1">
      <alignment horizontal="center" vertical="center"/>
      <protection locked="0" hidden="1"/>
    </xf>
    <xf numFmtId="2" fontId="7" fillId="10" borderId="13" xfId="0" applyNumberFormat="1" applyFont="1" applyFill="1" applyBorder="1" applyAlignment="1" applyProtection="1">
      <alignment horizontal="center" vertical="center"/>
      <protection locked="0" hidden="1"/>
    </xf>
    <xf numFmtId="2" fontId="7" fillId="10" borderId="62" xfId="0" applyNumberFormat="1" applyFont="1" applyFill="1" applyBorder="1" applyAlignment="1" applyProtection="1">
      <alignment horizontal="center" vertical="center"/>
      <protection locked="0" hidden="1"/>
    </xf>
    <xf numFmtId="0" fontId="7" fillId="10" borderId="42" xfId="0" applyFont="1" applyFill="1" applyBorder="1" applyAlignment="1" applyProtection="1">
      <alignment horizontal="center" vertical="center"/>
      <protection locked="0" hidden="1"/>
    </xf>
    <xf numFmtId="0" fontId="7" fillId="10" borderId="59" xfId="0" applyFont="1" applyFill="1" applyBorder="1" applyAlignment="1" applyProtection="1">
      <alignment horizontal="center" vertical="center"/>
      <protection locked="0" hidden="1"/>
    </xf>
    <xf numFmtId="0" fontId="7" fillId="10" borderId="0" xfId="0" applyFont="1" applyFill="1" applyBorder="1" applyAlignment="1" applyProtection="1">
      <alignment horizontal="center" vertical="center"/>
      <protection locked="0" hidden="1"/>
    </xf>
    <xf numFmtId="0" fontId="7" fillId="10" borderId="71" xfId="0" applyFont="1" applyFill="1" applyBorder="1" applyAlignment="1" applyProtection="1">
      <alignment horizontal="center" vertical="center"/>
      <protection locked="0" hidden="1"/>
    </xf>
    <xf numFmtId="0" fontId="7" fillId="10" borderId="13" xfId="0" applyFont="1" applyFill="1" applyBorder="1" applyAlignment="1" applyProtection="1">
      <alignment horizontal="center" vertical="center"/>
      <protection locked="0" hidden="1"/>
    </xf>
    <xf numFmtId="0" fontId="7" fillId="10" borderId="62" xfId="0" applyFont="1" applyFill="1" applyBorder="1" applyAlignment="1" applyProtection="1">
      <alignment horizontal="center" vertical="center"/>
      <protection locked="0" hidden="1"/>
    </xf>
    <xf numFmtId="0" fontId="1" fillId="10" borderId="13" xfId="0" applyFont="1" applyFill="1" applyBorder="1" applyAlignment="1" applyProtection="1">
      <alignment horizontal="center" vertical="center"/>
      <protection locked="0" hidden="1"/>
    </xf>
    <xf numFmtId="0" fontId="6" fillId="0" borderId="27" xfId="0" applyFont="1" applyFill="1" applyBorder="1" applyAlignment="1" applyProtection="1">
      <alignment horizontal="center"/>
      <protection hidden="1"/>
    </xf>
    <xf numFmtId="0" fontId="6" fillId="0" borderId="75" xfId="0" applyFont="1" applyFill="1" applyBorder="1" applyAlignment="1" applyProtection="1">
      <alignment horizontal="center"/>
      <protection hidden="1"/>
    </xf>
    <xf numFmtId="0" fontId="0" fillId="2" borderId="75" xfId="0" applyFill="1" applyBorder="1" applyAlignment="1" applyProtection="1">
      <alignment horizontal="center"/>
      <protection hidden="1"/>
    </xf>
    <xf numFmtId="3" fontId="7" fillId="0" borderId="10" xfId="0" applyNumberFormat="1" applyFont="1" applyFill="1" applyBorder="1" applyAlignment="1" applyProtection="1">
      <alignment horizontal="center" vertical="center"/>
      <protection hidden="1"/>
    </xf>
    <xf numFmtId="3" fontId="7" fillId="0" borderId="0" xfId="0" applyNumberFormat="1" applyFont="1" applyFill="1" applyBorder="1" applyAlignment="1" applyProtection="1">
      <alignment horizontal="center" vertical="center"/>
      <protection hidden="1"/>
    </xf>
    <xf numFmtId="1" fontId="7" fillId="0" borderId="0" xfId="0" applyNumberFormat="1" applyFont="1" applyFill="1" applyBorder="1" applyAlignment="1" applyProtection="1">
      <alignment horizontal="center" vertical="center"/>
      <protection hidden="1"/>
    </xf>
    <xf numFmtId="1" fontId="7" fillId="0" borderId="71" xfId="0" applyNumberFormat="1" applyFont="1" applyFill="1" applyBorder="1" applyAlignment="1" applyProtection="1">
      <alignment horizontal="center" vertical="center"/>
      <protection hidden="1"/>
    </xf>
    <xf numFmtId="0" fontId="5" fillId="2" borderId="47" xfId="0" applyFont="1" applyFill="1" applyBorder="1" applyProtection="1">
      <protection hidden="1"/>
    </xf>
    <xf numFmtId="0" fontId="2" fillId="2" borderId="16" xfId="0" applyFont="1" applyFill="1" applyBorder="1" applyProtection="1">
      <protection hidden="1"/>
    </xf>
    <xf numFmtId="3" fontId="2" fillId="8" borderId="34" xfId="0" applyNumberFormat="1" applyFont="1" applyFill="1" applyBorder="1" applyAlignment="1" applyProtection="1">
      <alignment horizontal="center" vertical="center"/>
      <protection hidden="1"/>
    </xf>
    <xf numFmtId="3" fontId="2" fillId="8" borderId="17" xfId="0" applyNumberFormat="1" applyFont="1" applyFill="1" applyBorder="1" applyAlignment="1" applyProtection="1">
      <alignment horizontal="center" vertical="center"/>
      <protection hidden="1"/>
    </xf>
    <xf numFmtId="3" fontId="2" fillId="8" borderId="60" xfId="0" applyNumberFormat="1" applyFont="1" applyFill="1" applyBorder="1" applyAlignment="1" applyProtection="1">
      <alignment horizontal="center" vertical="center"/>
      <protection hidden="1"/>
    </xf>
    <xf numFmtId="1" fontId="0" fillId="0" borderId="0" xfId="0" applyNumberFormat="1" applyProtection="1">
      <protection hidden="1"/>
    </xf>
    <xf numFmtId="0" fontId="7" fillId="3" borderId="29" xfId="0" applyFont="1" applyFill="1" applyBorder="1" applyAlignment="1" applyProtection="1">
      <alignment horizontal="center" vertical="center"/>
      <protection locked="0" hidden="1"/>
    </xf>
    <xf numFmtId="0" fontId="7" fillId="3" borderId="75" xfId="0" applyFont="1" applyFill="1" applyBorder="1" applyAlignment="1" applyProtection="1">
      <alignment horizontal="center" vertical="center"/>
      <protection locked="0" hidden="1"/>
    </xf>
    <xf numFmtId="0" fontId="7" fillId="3" borderId="76" xfId="0" applyFont="1" applyFill="1" applyBorder="1" applyAlignment="1" applyProtection="1">
      <alignment horizontal="center" vertical="center"/>
      <protection locked="0" hidden="1"/>
    </xf>
    <xf numFmtId="3" fontId="7" fillId="3" borderId="14" xfId="0" applyNumberFormat="1" applyFont="1" applyFill="1" applyBorder="1" applyAlignment="1" applyProtection="1">
      <alignment horizontal="center" vertical="center"/>
      <protection locked="0" hidden="1"/>
    </xf>
    <xf numFmtId="3" fontId="7" fillId="3" borderId="13" xfId="0" applyNumberFormat="1" applyFont="1" applyFill="1" applyBorder="1" applyAlignment="1" applyProtection="1">
      <alignment horizontal="center" vertical="center"/>
      <protection locked="0" hidden="1"/>
    </xf>
    <xf numFmtId="167" fontId="24" fillId="0" borderId="0" xfId="0" applyNumberFormat="1" applyFont="1" applyFill="1" applyBorder="1" applyAlignment="1" applyProtection="1">
      <alignment horizontal="center" vertical="center"/>
      <protection hidden="1"/>
    </xf>
    <xf numFmtId="168" fontId="24" fillId="0" borderId="2" xfId="0" applyNumberFormat="1" applyFont="1" applyFill="1" applyBorder="1" applyAlignment="1" applyProtection="1">
      <alignment horizontal="center" vertical="center"/>
      <protection hidden="1"/>
    </xf>
    <xf numFmtId="168" fontId="24" fillId="0" borderId="17" xfId="0" applyNumberFormat="1" applyFont="1" applyFill="1" applyBorder="1" applyAlignment="1" applyProtection="1">
      <alignment horizontal="center" vertical="center"/>
      <protection hidden="1"/>
    </xf>
    <xf numFmtId="0" fontId="0" fillId="0" borderId="0" xfId="0" applyAlignment="1" applyProtection="1">
      <alignment horizontal="center" vertical="center"/>
      <protection hidden="1"/>
    </xf>
    <xf numFmtId="0" fontId="5" fillId="7" borderId="31" xfId="0" applyFont="1" applyFill="1" applyBorder="1" applyAlignment="1" applyProtection="1">
      <alignment horizontal="center" vertical="center" wrapText="1"/>
      <protection hidden="1"/>
    </xf>
    <xf numFmtId="0" fontId="5" fillId="7" borderId="32" xfId="0" applyFont="1" applyFill="1" applyBorder="1" applyAlignment="1" applyProtection="1">
      <alignment horizontal="center" vertical="center" wrapText="1"/>
      <protection hidden="1"/>
    </xf>
    <xf numFmtId="0" fontId="5" fillId="7" borderId="23" xfId="0" applyFont="1" applyFill="1" applyBorder="1" applyAlignment="1" applyProtection="1">
      <alignment horizontal="center" vertical="center" wrapText="1"/>
      <protection hidden="1"/>
    </xf>
    <xf numFmtId="0" fontId="0" fillId="0" borderId="0" xfId="0" applyAlignment="1" applyProtection="1">
      <alignment horizontal="center" vertical="center" wrapText="1"/>
      <protection hidden="1"/>
    </xf>
    <xf numFmtId="0" fontId="5" fillId="7" borderId="33" xfId="0" applyFont="1" applyFill="1" applyBorder="1" applyAlignment="1" applyProtection="1">
      <alignment horizontal="center" vertical="center" wrapText="1"/>
      <protection hidden="1"/>
    </xf>
    <xf numFmtId="0" fontId="5" fillId="7" borderId="18" xfId="0" applyFont="1" applyFill="1" applyBorder="1" applyAlignment="1" applyProtection="1">
      <alignment horizontal="center" vertical="center" wrapText="1"/>
      <protection hidden="1"/>
    </xf>
    <xf numFmtId="0" fontId="5" fillId="7" borderId="19" xfId="0" applyFont="1" applyFill="1" applyBorder="1" applyAlignment="1" applyProtection="1">
      <alignment horizontal="center" vertical="center" wrapText="1"/>
      <protection hidden="1"/>
    </xf>
    <xf numFmtId="0" fontId="5" fillId="0" borderId="31" xfId="0" applyFont="1" applyFill="1" applyBorder="1" applyAlignment="1" applyProtection="1">
      <alignment horizontal="center"/>
      <protection hidden="1"/>
    </xf>
    <xf numFmtId="0" fontId="5" fillId="0" borderId="32" xfId="0" applyFont="1" applyFill="1" applyBorder="1" applyAlignment="1" applyProtection="1">
      <alignment horizontal="center" vertical="center"/>
      <protection hidden="1"/>
    </xf>
    <xf numFmtId="0" fontId="5" fillId="0" borderId="32" xfId="0" applyFont="1" applyFill="1" applyBorder="1" applyAlignment="1" applyProtection="1">
      <alignment horizontal="center"/>
      <protection hidden="1"/>
    </xf>
    <xf numFmtId="165" fontId="0" fillId="0" borderId="32" xfId="0" applyNumberFormat="1" applyFill="1" applyBorder="1" applyAlignment="1" applyProtection="1">
      <alignment horizontal="center"/>
      <protection hidden="1"/>
    </xf>
    <xf numFmtId="2" fontId="5" fillId="0" borderId="32" xfId="0" applyNumberFormat="1" applyFont="1" applyFill="1" applyBorder="1" applyAlignment="1" applyProtection="1">
      <alignment horizontal="center"/>
      <protection hidden="1"/>
    </xf>
    <xf numFmtId="0" fontId="0" fillId="0" borderId="32" xfId="0" applyFill="1" applyBorder="1" applyAlignment="1" applyProtection="1">
      <alignment horizontal="center"/>
      <protection hidden="1"/>
    </xf>
    <xf numFmtId="0" fontId="13" fillId="0" borderId="23" xfId="0" applyFont="1" applyFill="1" applyBorder="1" applyAlignment="1" applyProtection="1">
      <alignment horizontal="left" vertical="center"/>
      <protection hidden="1"/>
    </xf>
    <xf numFmtId="0" fontId="5" fillId="0" borderId="54" xfId="0" applyFont="1" applyFill="1" applyBorder="1" applyAlignment="1" applyProtection="1">
      <alignment horizontal="center"/>
      <protection hidden="1"/>
    </xf>
    <xf numFmtId="0" fontId="0" fillId="0" borderId="7" xfId="0" applyFill="1" applyBorder="1" applyAlignment="1" applyProtection="1">
      <alignment horizontal="center" vertical="center"/>
      <protection hidden="1"/>
    </xf>
    <xf numFmtId="0" fontId="5" fillId="0" borderId="7" xfId="0" applyFont="1" applyFill="1" applyBorder="1" applyAlignment="1" applyProtection="1">
      <alignment horizontal="center"/>
      <protection hidden="1"/>
    </xf>
    <xf numFmtId="2" fontId="5" fillId="0" borderId="7" xfId="0" applyNumberFormat="1" applyFont="1" applyFill="1" applyBorder="1" applyAlignment="1" applyProtection="1">
      <alignment horizontal="center"/>
      <protection hidden="1"/>
    </xf>
    <xf numFmtId="0" fontId="0" fillId="0" borderId="7" xfId="0" applyFill="1" applyBorder="1" applyAlignment="1" applyProtection="1">
      <alignment horizontal="center"/>
      <protection hidden="1"/>
    </xf>
    <xf numFmtId="0" fontId="13" fillId="0" borderId="28" xfId="0" applyFont="1" applyFill="1" applyBorder="1" applyAlignment="1" applyProtection="1">
      <alignment horizontal="left" vertical="center"/>
      <protection hidden="1"/>
    </xf>
    <xf numFmtId="0" fontId="5" fillId="0" borderId="54" xfId="0" applyFont="1" applyFill="1" applyBorder="1" applyAlignment="1" applyProtection="1">
      <alignment horizontal="center" vertical="center"/>
      <protection hidden="1"/>
    </xf>
    <xf numFmtId="0" fontId="5" fillId="0" borderId="7" xfId="0" applyFont="1" applyFill="1" applyBorder="1" applyAlignment="1" applyProtection="1">
      <alignment horizontal="center" vertical="center"/>
      <protection hidden="1"/>
    </xf>
    <xf numFmtId="0" fontId="5" fillId="0" borderId="28" xfId="0" applyFont="1" applyFill="1" applyBorder="1" applyProtection="1">
      <protection hidden="1"/>
    </xf>
    <xf numFmtId="0" fontId="0" fillId="0" borderId="54" xfId="0" applyFill="1" applyBorder="1" applyAlignment="1" applyProtection="1">
      <alignment horizontal="center"/>
      <protection hidden="1"/>
    </xf>
    <xf numFmtId="0" fontId="0" fillId="0" borderId="28" xfId="0" applyFill="1" applyBorder="1" applyProtection="1">
      <protection hidden="1"/>
    </xf>
    <xf numFmtId="165" fontId="5" fillId="0" borderId="7" xfId="0" applyNumberFormat="1" applyFont="1" applyFill="1" applyBorder="1" applyAlignment="1" applyProtection="1">
      <alignment horizontal="center"/>
      <protection hidden="1"/>
    </xf>
    <xf numFmtId="0" fontId="0" fillId="10" borderId="54" xfId="0" applyFill="1" applyBorder="1" applyAlignment="1" applyProtection="1">
      <alignment horizontal="center"/>
      <protection locked="0" hidden="1"/>
    </xf>
    <xf numFmtId="0" fontId="0" fillId="10" borderId="7" xfId="0" applyFill="1" applyBorder="1" applyAlignment="1" applyProtection="1">
      <alignment horizontal="center" vertical="center"/>
      <protection locked="0" hidden="1"/>
    </xf>
    <xf numFmtId="0" fontId="0" fillId="10" borderId="7" xfId="0" applyFill="1" applyBorder="1" applyAlignment="1" applyProtection="1">
      <alignment horizontal="center"/>
      <protection locked="0" hidden="1"/>
    </xf>
    <xf numFmtId="165" fontId="0" fillId="10" borderId="7" xfId="0" applyNumberFormat="1" applyFill="1" applyBorder="1" applyAlignment="1" applyProtection="1">
      <alignment horizontal="center"/>
      <protection locked="0" hidden="1"/>
    </xf>
    <xf numFmtId="0" fontId="5" fillId="10" borderId="7" xfId="0" applyFont="1" applyFill="1" applyBorder="1" applyAlignment="1" applyProtection="1">
      <alignment horizontal="center"/>
      <protection locked="0" hidden="1"/>
    </xf>
    <xf numFmtId="2" fontId="5" fillId="10" borderId="7" xfId="0" applyNumberFormat="1" applyFont="1" applyFill="1" applyBorder="1" applyAlignment="1" applyProtection="1">
      <alignment horizontal="center"/>
      <protection locked="0" hidden="1"/>
    </xf>
    <xf numFmtId="0" fontId="0" fillId="10" borderId="28" xfId="0" applyFill="1" applyBorder="1" applyProtection="1">
      <protection locked="0" hidden="1"/>
    </xf>
    <xf numFmtId="0" fontId="0" fillId="10" borderId="33" xfId="0" applyFill="1" applyBorder="1" applyAlignment="1" applyProtection="1">
      <alignment horizontal="center"/>
      <protection locked="0" hidden="1"/>
    </xf>
    <xf numFmtId="0" fontId="0" fillId="10" borderId="18" xfId="0" applyFill="1" applyBorder="1" applyAlignment="1" applyProtection="1">
      <alignment horizontal="center" vertical="center"/>
      <protection locked="0" hidden="1"/>
    </xf>
    <xf numFmtId="0" fontId="0" fillId="10" borderId="18" xfId="0" applyFill="1" applyBorder="1" applyAlignment="1" applyProtection="1">
      <alignment horizontal="center"/>
      <protection locked="0" hidden="1"/>
    </xf>
    <xf numFmtId="165" fontId="0" fillId="10" borderId="18" xfId="0" applyNumberFormat="1" applyFill="1" applyBorder="1" applyAlignment="1" applyProtection="1">
      <alignment horizontal="center"/>
      <protection locked="0" hidden="1"/>
    </xf>
    <xf numFmtId="0" fontId="5" fillId="10" borderId="18" xfId="0" applyFont="1" applyFill="1" applyBorder="1" applyAlignment="1" applyProtection="1">
      <alignment horizontal="center"/>
      <protection locked="0" hidden="1"/>
    </xf>
    <xf numFmtId="2" fontId="5" fillId="10" borderId="18" xfId="0" applyNumberFormat="1" applyFont="1" applyFill="1" applyBorder="1" applyAlignment="1" applyProtection="1">
      <alignment horizontal="center"/>
      <protection locked="0" hidden="1"/>
    </xf>
    <xf numFmtId="0" fontId="0" fillId="10" borderId="19" xfId="0" applyFill="1" applyBorder="1" applyProtection="1">
      <protection locked="0" hidden="1"/>
    </xf>
    <xf numFmtId="0" fontId="5" fillId="7" borderId="31" xfId="0" applyFont="1" applyFill="1" applyBorder="1" applyAlignment="1" applyProtection="1">
      <alignment horizontal="center" vertical="center"/>
      <protection hidden="1"/>
    </xf>
    <xf numFmtId="0" fontId="5" fillId="7" borderId="54" xfId="0" applyFont="1" applyFill="1" applyBorder="1" applyAlignment="1" applyProtection="1">
      <alignment horizontal="center" vertical="center"/>
      <protection hidden="1"/>
    </xf>
    <xf numFmtId="0" fontId="5" fillId="7" borderId="33" xfId="0" applyFont="1" applyFill="1" applyBorder="1" applyAlignment="1" applyProtection="1">
      <alignment horizontal="center" vertical="center"/>
      <protection hidden="1"/>
    </xf>
    <xf numFmtId="0" fontId="2" fillId="2" borderId="5" xfId="0" applyFont="1" applyFill="1" applyBorder="1" applyAlignment="1" applyProtection="1">
      <alignment horizontal="center"/>
      <protection hidden="1"/>
    </xf>
    <xf numFmtId="0" fontId="2" fillId="7" borderId="6" xfId="0" applyFont="1" applyFill="1" applyBorder="1" applyAlignment="1" applyProtection="1">
      <alignment horizontal="center"/>
      <protection hidden="1"/>
    </xf>
    <xf numFmtId="0" fontId="2" fillId="2" borderId="45" xfId="0" applyFont="1" applyFill="1" applyBorder="1" applyAlignment="1" applyProtection="1">
      <alignment horizontal="center"/>
      <protection hidden="1"/>
    </xf>
    <xf numFmtId="0" fontId="2" fillId="2" borderId="27" xfId="0" applyFont="1" applyFill="1" applyBorder="1" applyAlignment="1" applyProtection="1">
      <alignment horizontal="center"/>
      <protection hidden="1"/>
    </xf>
    <xf numFmtId="0" fontId="2" fillId="2" borderId="8" xfId="0" applyFont="1" applyFill="1" applyBorder="1" applyAlignment="1" applyProtection="1">
      <alignment horizontal="center"/>
      <protection hidden="1"/>
    </xf>
    <xf numFmtId="0" fontId="2" fillId="2" borderId="1" xfId="0" applyFont="1" applyFill="1" applyBorder="1" applyAlignment="1" applyProtection="1">
      <alignment horizontal="center"/>
      <protection hidden="1"/>
    </xf>
    <xf numFmtId="0" fontId="2" fillId="2" borderId="2" xfId="0" applyFont="1" applyFill="1" applyBorder="1" applyAlignment="1" applyProtection="1">
      <alignment horizontal="center"/>
      <protection hidden="1"/>
    </xf>
    <xf numFmtId="0" fontId="2" fillId="2" borderId="4" xfId="0" applyFont="1" applyFill="1" applyBorder="1" applyAlignment="1" applyProtection="1">
      <alignment horizontal="center"/>
      <protection hidden="1"/>
    </xf>
    <xf numFmtId="0" fontId="1" fillId="3" borderId="54" xfId="0" applyFont="1" applyFill="1" applyBorder="1" applyAlignment="1" applyProtection="1">
      <alignment horizontal="left" vertical="center" wrapText="1"/>
      <protection locked="0" hidden="1"/>
    </xf>
    <xf numFmtId="0" fontId="7" fillId="3" borderId="7" xfId="0" applyFont="1" applyFill="1" applyBorder="1" applyAlignment="1" applyProtection="1">
      <alignment horizontal="left" vertical="center" wrapText="1"/>
      <protection locked="0" hidden="1"/>
    </xf>
    <xf numFmtId="0" fontId="7" fillId="3" borderId="33" xfId="0" applyFont="1" applyFill="1" applyBorder="1" applyAlignment="1" applyProtection="1">
      <alignment horizontal="left" vertical="center" wrapText="1"/>
      <protection locked="0" hidden="1"/>
    </xf>
    <xf numFmtId="0" fontId="7" fillId="3" borderId="18" xfId="0" applyFont="1" applyFill="1" applyBorder="1" applyAlignment="1" applyProtection="1">
      <alignment horizontal="left" vertical="center" wrapText="1"/>
      <protection locked="0" hidden="1"/>
    </xf>
    <xf numFmtId="0" fontId="7" fillId="0" borderId="54" xfId="0" applyFont="1" applyFill="1" applyBorder="1" applyAlignment="1" applyProtection="1">
      <alignment horizontal="left" vertical="center" wrapText="1"/>
      <protection hidden="1"/>
    </xf>
    <xf numFmtId="0" fontId="7" fillId="0" borderId="7" xfId="0" applyFont="1" applyFill="1" applyBorder="1" applyAlignment="1" applyProtection="1">
      <alignment horizontal="left" vertical="center" wrapText="1"/>
      <protection hidden="1"/>
    </xf>
    <xf numFmtId="0" fontId="7" fillId="0" borderId="31" xfId="0" applyFont="1" applyFill="1" applyBorder="1" applyAlignment="1" applyProtection="1">
      <alignment horizontal="left" vertical="center" wrapText="1"/>
      <protection hidden="1"/>
    </xf>
    <xf numFmtId="0" fontId="7" fillId="0" borderId="32" xfId="0" applyFont="1" applyFill="1" applyBorder="1" applyAlignment="1" applyProtection="1">
      <alignment horizontal="left" vertical="center" wrapText="1"/>
      <protection hidden="1"/>
    </xf>
    <xf numFmtId="0" fontId="5" fillId="7" borderId="46" xfId="0" applyFont="1" applyFill="1" applyBorder="1" applyAlignment="1" applyProtection="1">
      <alignment horizontal="center" vertical="center"/>
      <protection hidden="1"/>
    </xf>
    <xf numFmtId="0" fontId="1" fillId="0" borderId="69" xfId="0" applyFont="1" applyFill="1" applyBorder="1" applyAlignment="1" applyProtection="1">
      <alignment horizontal="left" vertical="center" wrapText="1"/>
      <protection hidden="1"/>
    </xf>
    <xf numFmtId="0" fontId="7" fillId="0" borderId="57" xfId="0" applyFont="1" applyFill="1" applyBorder="1" applyAlignment="1" applyProtection="1">
      <alignment horizontal="left" vertical="center" wrapText="1"/>
      <protection hidden="1"/>
    </xf>
    <xf numFmtId="0" fontId="5" fillId="7" borderId="41" xfId="0" applyFont="1" applyFill="1" applyBorder="1" applyAlignment="1" applyProtection="1">
      <alignment horizontal="center" vertical="center"/>
      <protection hidden="1"/>
    </xf>
    <xf numFmtId="0" fontId="5" fillId="7" borderId="59" xfId="0" applyFont="1" applyFill="1" applyBorder="1" applyAlignment="1" applyProtection="1">
      <alignment horizontal="center" vertical="center"/>
      <protection hidden="1"/>
    </xf>
    <xf numFmtId="0" fontId="5" fillId="7" borderId="16" xfId="0" applyFont="1" applyFill="1" applyBorder="1" applyAlignment="1" applyProtection="1">
      <alignment horizontal="center" vertical="center"/>
      <protection hidden="1"/>
    </xf>
    <xf numFmtId="0" fontId="5" fillId="7" borderId="60" xfId="0" applyFont="1" applyFill="1" applyBorder="1" applyAlignment="1" applyProtection="1">
      <alignment horizontal="center" vertical="center"/>
      <protection hidden="1"/>
    </xf>
    <xf numFmtId="0" fontId="2" fillId="6" borderId="41" xfId="0" applyFont="1" applyFill="1" applyBorder="1" applyAlignment="1" applyProtection="1">
      <alignment horizontal="center"/>
      <protection hidden="1"/>
    </xf>
    <xf numFmtId="0" fontId="2" fillId="6" borderId="42" xfId="0" applyFont="1" applyFill="1" applyBorder="1" applyAlignment="1" applyProtection="1">
      <alignment horizontal="center"/>
      <protection hidden="1"/>
    </xf>
    <xf numFmtId="0" fontId="2" fillId="6" borderId="59" xfId="0" applyFont="1" applyFill="1" applyBorder="1" applyAlignment="1" applyProtection="1">
      <alignment horizontal="center"/>
      <protection hidden="1"/>
    </xf>
    <xf numFmtId="0" fontId="2" fillId="2" borderId="43" xfId="0" applyFont="1" applyFill="1" applyBorder="1" applyAlignment="1" applyProtection="1">
      <alignment horizontal="center" wrapText="1"/>
      <protection hidden="1"/>
    </xf>
    <xf numFmtId="0" fontId="2" fillId="2" borderId="44" xfId="0" applyFont="1" applyFill="1" applyBorder="1" applyAlignment="1" applyProtection="1">
      <alignment horizontal="center" wrapText="1"/>
      <protection hidden="1"/>
    </xf>
    <xf numFmtId="0" fontId="2" fillId="2" borderId="58" xfId="0" applyFont="1" applyFill="1" applyBorder="1" applyAlignment="1" applyProtection="1">
      <alignment horizontal="center" wrapText="1"/>
      <protection hidden="1"/>
    </xf>
    <xf numFmtId="0" fontId="5" fillId="7" borderId="25" xfId="0" applyFont="1" applyFill="1" applyBorder="1" applyAlignment="1" applyProtection="1">
      <alignment horizontal="center"/>
      <protection hidden="1"/>
    </xf>
    <xf numFmtId="0" fontId="5" fillId="7" borderId="32" xfId="0" applyFont="1" applyFill="1" applyBorder="1" applyAlignment="1" applyProtection="1">
      <alignment horizontal="center"/>
      <protection hidden="1"/>
    </xf>
    <xf numFmtId="0" fontId="5" fillId="7" borderId="23" xfId="0" applyFont="1" applyFill="1" applyBorder="1" applyAlignment="1" applyProtection="1">
      <alignment horizontal="center" vertical="center"/>
      <protection hidden="1"/>
    </xf>
    <xf numFmtId="0" fontId="5" fillId="7" borderId="19" xfId="0" applyFont="1" applyFill="1" applyBorder="1" applyAlignment="1" applyProtection="1">
      <alignment horizontal="center" vertical="center"/>
      <protection hidden="1"/>
    </xf>
    <xf numFmtId="0" fontId="5" fillId="7" borderId="54" xfId="0" applyFont="1" applyFill="1" applyBorder="1" applyAlignment="1" applyProtection="1">
      <alignment horizontal="center"/>
      <protection hidden="1"/>
    </xf>
    <xf numFmtId="0" fontId="5" fillId="7" borderId="28" xfId="0" applyFont="1" applyFill="1" applyBorder="1" applyAlignment="1" applyProtection="1">
      <alignment horizontal="center"/>
      <protection hidden="1"/>
    </xf>
    <xf numFmtId="0" fontId="2" fillId="2" borderId="46" xfId="0" applyFont="1" applyFill="1" applyBorder="1" applyAlignment="1" applyProtection="1">
      <alignment horizontal="center" vertical="center" wrapText="1"/>
      <protection hidden="1"/>
    </xf>
    <xf numFmtId="0" fontId="2" fillId="2" borderId="70" xfId="0" applyFont="1" applyFill="1" applyBorder="1" applyAlignment="1" applyProtection="1">
      <alignment horizontal="center" vertical="center" wrapText="1"/>
      <protection hidden="1"/>
    </xf>
    <xf numFmtId="0" fontId="2" fillId="2" borderId="63" xfId="0" applyFont="1" applyFill="1" applyBorder="1" applyAlignment="1" applyProtection="1">
      <alignment horizontal="center" vertical="center" wrapText="1"/>
      <protection hidden="1"/>
    </xf>
    <xf numFmtId="0" fontId="2" fillId="6" borderId="31" xfId="0" applyFont="1" applyFill="1" applyBorder="1" applyAlignment="1" applyProtection="1">
      <alignment horizontal="center" vertical="center" wrapText="1"/>
      <protection hidden="1"/>
    </xf>
    <xf numFmtId="0" fontId="2" fillId="6" borderId="54" xfId="0" applyFont="1" applyFill="1" applyBorder="1" applyAlignment="1" applyProtection="1">
      <alignment horizontal="center" vertical="center" wrapText="1"/>
      <protection hidden="1"/>
    </xf>
    <xf numFmtId="0" fontId="2" fillId="6" borderId="33" xfId="0" applyFont="1" applyFill="1" applyBorder="1" applyAlignment="1" applyProtection="1">
      <alignment horizontal="center" vertical="center" wrapText="1"/>
      <protection hidden="1"/>
    </xf>
    <xf numFmtId="0" fontId="0" fillId="0" borderId="7" xfId="0" applyFill="1" applyBorder="1" applyAlignment="1" applyProtection="1">
      <alignment horizontal="left"/>
      <protection hidden="1"/>
    </xf>
    <xf numFmtId="0" fontId="0" fillId="0" borderId="28" xfId="0" applyFill="1" applyBorder="1" applyAlignment="1" applyProtection="1">
      <alignment horizontal="left"/>
      <protection hidden="1"/>
    </xf>
    <xf numFmtId="0" fontId="0" fillId="6" borderId="54" xfId="0" applyFill="1" applyBorder="1" applyAlignment="1" applyProtection="1">
      <alignment horizontal="left" vertical="center"/>
      <protection hidden="1"/>
    </xf>
    <xf numFmtId="0" fontId="0" fillId="6" borderId="7" xfId="0" applyFill="1" applyBorder="1" applyAlignment="1" applyProtection="1">
      <alignment horizontal="left" vertical="center"/>
      <protection hidden="1"/>
    </xf>
    <xf numFmtId="0" fontId="0" fillId="6" borderId="46" xfId="0" applyFill="1" applyBorder="1" applyAlignment="1" applyProtection="1">
      <alignment horizontal="left" vertical="center"/>
      <protection hidden="1"/>
    </xf>
    <xf numFmtId="0" fontId="0" fillId="6" borderId="68" xfId="0" applyFill="1" applyBorder="1" applyAlignment="1" applyProtection="1">
      <alignment horizontal="left" vertical="center"/>
      <protection hidden="1"/>
    </xf>
    <xf numFmtId="0" fontId="0" fillId="6" borderId="33" xfId="0" applyFill="1" applyBorder="1" applyAlignment="1" applyProtection="1">
      <alignment horizontal="left" vertical="center"/>
      <protection hidden="1"/>
    </xf>
    <xf numFmtId="0" fontId="0" fillId="6" borderId="18" xfId="0" applyFill="1" applyBorder="1" applyAlignment="1" applyProtection="1">
      <alignment horizontal="left" vertical="center"/>
      <protection hidden="1"/>
    </xf>
    <xf numFmtId="0" fontId="0" fillId="0" borderId="18" xfId="0" applyFill="1" applyBorder="1" applyAlignment="1" applyProtection="1">
      <alignment horizontal="left"/>
      <protection hidden="1"/>
    </xf>
    <xf numFmtId="0" fontId="0" fillId="0" borderId="19" xfId="0" applyFill="1" applyBorder="1" applyAlignment="1" applyProtection="1">
      <alignment horizontal="left"/>
      <protection hidden="1"/>
    </xf>
    <xf numFmtId="0" fontId="2" fillId="6" borderId="1" xfId="0" applyFont="1" applyFill="1" applyBorder="1" applyAlignment="1" applyProtection="1">
      <alignment horizontal="left"/>
      <protection hidden="1"/>
    </xf>
    <xf numFmtId="0" fontId="2" fillId="6" borderId="25" xfId="0" applyFont="1" applyFill="1" applyBorder="1" applyAlignment="1" applyProtection="1">
      <alignment horizontal="left"/>
      <protection hidden="1"/>
    </xf>
    <xf numFmtId="164" fontId="5" fillId="6" borderId="3" xfId="0" applyNumberFormat="1" applyFont="1" applyFill="1" applyBorder="1" applyAlignment="1" applyProtection="1">
      <alignment horizontal="center"/>
      <protection hidden="1"/>
    </xf>
    <xf numFmtId="164" fontId="5" fillId="6" borderId="2" xfId="0" applyNumberFormat="1" applyFont="1" applyFill="1" applyBorder="1" applyAlignment="1" applyProtection="1">
      <alignment horizontal="center"/>
      <protection hidden="1"/>
    </xf>
    <xf numFmtId="164" fontId="5" fillId="6" borderId="4" xfId="0" applyNumberFormat="1" applyFont="1" applyFill="1" applyBorder="1" applyAlignment="1" applyProtection="1">
      <alignment horizontal="center"/>
      <protection hidden="1"/>
    </xf>
    <xf numFmtId="0" fontId="1" fillId="0" borderId="39" xfId="0" applyFont="1" applyFill="1" applyBorder="1" applyAlignment="1" applyProtection="1">
      <protection hidden="1"/>
    </xf>
    <xf numFmtId="0" fontId="1" fillId="0" borderId="61" xfId="0" applyFont="1" applyFill="1" applyBorder="1" applyAlignment="1" applyProtection="1">
      <protection hidden="1"/>
    </xf>
    <xf numFmtId="0" fontId="1" fillId="0" borderId="5" xfId="0" applyFont="1" applyFill="1" applyBorder="1" applyAlignment="1" applyProtection="1">
      <protection hidden="1"/>
    </xf>
    <xf numFmtId="0" fontId="1" fillId="0" borderId="45" xfId="0" applyFont="1" applyFill="1" applyBorder="1" applyAlignment="1" applyProtection="1">
      <protection hidden="1"/>
    </xf>
    <xf numFmtId="0" fontId="2" fillId="6" borderId="31" xfId="0" applyFont="1" applyFill="1" applyBorder="1" applyAlignment="1" applyProtection="1">
      <protection hidden="1"/>
    </xf>
    <xf numFmtId="0" fontId="2" fillId="6" borderId="32" xfId="0" applyFont="1" applyFill="1" applyBorder="1" applyAlignment="1" applyProtection="1">
      <protection hidden="1"/>
    </xf>
    <xf numFmtId="0" fontId="1" fillId="0" borderId="54" xfId="0" applyFont="1" applyFill="1" applyBorder="1" applyAlignment="1" applyProtection="1">
      <alignment horizontal="left"/>
      <protection hidden="1"/>
    </xf>
    <xf numFmtId="0" fontId="1" fillId="0" borderId="7" xfId="0" applyFont="1" applyFill="1" applyBorder="1" applyAlignment="1" applyProtection="1">
      <alignment horizontal="left"/>
      <protection hidden="1"/>
    </xf>
    <xf numFmtId="0" fontId="1" fillId="0" borderId="33" xfId="0" applyFont="1" applyFill="1" applyBorder="1" applyAlignment="1" applyProtection="1">
      <alignment horizontal="left"/>
      <protection hidden="1"/>
    </xf>
    <xf numFmtId="0" fontId="1" fillId="0" borderId="18" xfId="0" applyFont="1" applyFill="1" applyBorder="1" applyAlignment="1" applyProtection="1">
      <alignment horizontal="left"/>
      <protection hidden="1"/>
    </xf>
    <xf numFmtId="0" fontId="2" fillId="6" borderId="31" xfId="0" applyFont="1" applyFill="1" applyBorder="1" applyAlignment="1" applyProtection="1">
      <alignment horizontal="left"/>
      <protection hidden="1"/>
    </xf>
    <xf numFmtId="0" fontId="2" fillId="6" borderId="32" xfId="0" applyFont="1" applyFill="1" applyBorder="1" applyAlignment="1" applyProtection="1">
      <alignment horizontal="left"/>
      <protection hidden="1"/>
    </xf>
    <xf numFmtId="0" fontId="22" fillId="5" borderId="17" xfId="0" applyFont="1" applyFill="1" applyBorder="1" applyAlignment="1" applyProtection="1">
      <alignment horizontal="left"/>
      <protection hidden="1"/>
    </xf>
    <xf numFmtId="0" fontId="4" fillId="6" borderId="41" xfId="0" applyFont="1" applyFill="1" applyBorder="1" applyAlignment="1" applyProtection="1">
      <alignment horizontal="left" vertical="center" wrapText="1"/>
      <protection hidden="1"/>
    </xf>
    <xf numFmtId="0" fontId="4" fillId="6" borderId="42" xfId="0" applyFont="1" applyFill="1" applyBorder="1" applyAlignment="1" applyProtection="1">
      <alignment horizontal="left" vertical="center" wrapText="1"/>
      <protection hidden="1"/>
    </xf>
    <xf numFmtId="0" fontId="4" fillId="6" borderId="43" xfId="0" applyFont="1" applyFill="1" applyBorder="1" applyAlignment="1" applyProtection="1">
      <alignment horizontal="left" vertical="center" wrapText="1"/>
      <protection hidden="1"/>
    </xf>
    <xf numFmtId="0" fontId="4" fillId="6" borderId="44" xfId="0" applyFont="1" applyFill="1" applyBorder="1" applyAlignment="1" applyProtection="1">
      <alignment horizontal="left" vertical="center" wrapText="1"/>
      <protection hidden="1"/>
    </xf>
    <xf numFmtId="0" fontId="4" fillId="6" borderId="41" xfId="0" applyFont="1" applyFill="1" applyBorder="1" applyAlignment="1" applyProtection="1">
      <alignment horizontal="left" vertical="center"/>
      <protection hidden="1"/>
    </xf>
    <xf numFmtId="0" fontId="4" fillId="6" borderId="42" xfId="0" applyFont="1" applyFill="1" applyBorder="1" applyAlignment="1" applyProtection="1">
      <alignment horizontal="left" vertical="center"/>
      <protection hidden="1"/>
    </xf>
    <xf numFmtId="0" fontId="8" fillId="0" borderId="77" xfId="0" applyFont="1" applyFill="1" applyBorder="1" applyAlignment="1" applyProtection="1">
      <alignment horizontal="left"/>
      <protection hidden="1"/>
    </xf>
    <xf numFmtId="0" fontId="8" fillId="0" borderId="20" xfId="0" applyFont="1" applyFill="1" applyBorder="1" applyAlignment="1" applyProtection="1">
      <alignment horizontal="left"/>
      <protection hidden="1"/>
    </xf>
    <xf numFmtId="0" fontId="8" fillId="0" borderId="22" xfId="0" applyFont="1" applyFill="1" applyBorder="1" applyAlignment="1" applyProtection="1">
      <alignment horizontal="left"/>
      <protection hidden="1"/>
    </xf>
  </cellXfs>
  <cellStyles count="1">
    <cellStyle name="Normální" xfId="0" builtinId="0"/>
  </cellStyles>
  <dxfs count="1"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15"/>
  <sheetViews>
    <sheetView showGridLines="0" zoomScaleNormal="100" workbookViewId="0">
      <selection activeCell="C43" sqref="C43"/>
    </sheetView>
  </sheetViews>
  <sheetFormatPr defaultRowHeight="12.75" x14ac:dyDescent="0.2"/>
  <cols>
    <col min="1" max="1" width="2.85546875" style="2" customWidth="1"/>
    <col min="2" max="2" width="4.5703125" style="2" customWidth="1"/>
    <col min="3" max="3" width="29.7109375" style="2" bestFit="1" customWidth="1"/>
    <col min="4" max="4" width="38.28515625" style="2" customWidth="1"/>
    <col min="5" max="5" width="11.7109375" style="2" customWidth="1"/>
    <col min="6" max="7" width="9.140625" style="2"/>
    <col min="8" max="8" width="32.140625" style="2" customWidth="1"/>
    <col min="9" max="16384" width="9.140625" style="2"/>
  </cols>
  <sheetData>
    <row r="2" spans="2:8" ht="18" x14ac:dyDescent="0.25">
      <c r="B2" s="213" t="s">
        <v>267</v>
      </c>
    </row>
    <row r="3" spans="2:8" ht="18" x14ac:dyDescent="0.25">
      <c r="B3" s="214" t="s">
        <v>387</v>
      </c>
    </row>
    <row r="4" spans="2:8" x14ac:dyDescent="0.2">
      <c r="B4" s="215"/>
    </row>
    <row r="5" spans="2:8" x14ac:dyDescent="0.2">
      <c r="B5" s="216" t="s">
        <v>2</v>
      </c>
      <c r="C5" s="216"/>
      <c r="D5" s="217" t="s">
        <v>157</v>
      </c>
      <c r="F5" s="216" t="s">
        <v>268</v>
      </c>
      <c r="G5" s="216"/>
      <c r="H5" s="216"/>
    </row>
    <row r="6" spans="2:8" x14ac:dyDescent="0.2">
      <c r="B6" s="218"/>
      <c r="C6" s="218"/>
      <c r="D6" s="32"/>
    </row>
    <row r="7" spans="2:8" x14ac:dyDescent="0.2">
      <c r="B7" s="219">
        <v>1</v>
      </c>
      <c r="C7" s="220" t="s">
        <v>160</v>
      </c>
      <c r="D7" s="220" t="s">
        <v>1</v>
      </c>
      <c r="F7" s="221"/>
      <c r="G7" s="222" t="s">
        <v>269</v>
      </c>
    </row>
    <row r="8" spans="2:8" x14ac:dyDescent="0.2">
      <c r="B8" s="219">
        <v>2</v>
      </c>
      <c r="C8" s="2" t="s">
        <v>54</v>
      </c>
      <c r="D8" s="220" t="s">
        <v>135</v>
      </c>
      <c r="F8" s="223"/>
      <c r="G8" s="224" t="s">
        <v>384</v>
      </c>
    </row>
    <row r="9" spans="2:8" x14ac:dyDescent="0.2">
      <c r="B9" s="219">
        <v>3</v>
      </c>
      <c r="C9" s="220" t="s">
        <v>136</v>
      </c>
      <c r="D9" s="220" t="s">
        <v>158</v>
      </c>
      <c r="F9" s="225"/>
      <c r="G9" s="224" t="s">
        <v>270</v>
      </c>
    </row>
    <row r="10" spans="2:8" x14ac:dyDescent="0.2">
      <c r="B10" s="219">
        <v>4</v>
      </c>
      <c r="C10" s="220" t="s">
        <v>137</v>
      </c>
      <c r="D10" s="220" t="s">
        <v>55</v>
      </c>
      <c r="F10" s="226"/>
      <c r="G10" s="224" t="s">
        <v>271</v>
      </c>
    </row>
    <row r="11" spans="2:8" x14ac:dyDescent="0.2">
      <c r="B11" s="219">
        <v>5</v>
      </c>
      <c r="C11" s="2" t="s">
        <v>57</v>
      </c>
      <c r="D11" s="220" t="s">
        <v>159</v>
      </c>
      <c r="F11" s="227"/>
      <c r="G11" s="224" t="s">
        <v>271</v>
      </c>
    </row>
    <row r="12" spans="2:8" x14ac:dyDescent="0.2">
      <c r="B12" s="219">
        <v>6</v>
      </c>
      <c r="C12" s="2" t="s">
        <v>56</v>
      </c>
      <c r="D12" s="220" t="s">
        <v>159</v>
      </c>
      <c r="F12" s="32"/>
      <c r="G12" s="100"/>
    </row>
    <row r="13" spans="2:8" x14ac:dyDescent="0.2">
      <c r="B13" s="219"/>
    </row>
    <row r="15" spans="2:8" s="100" customFormat="1" x14ac:dyDescent="0.2"/>
  </sheetData>
  <sheetProtection password="A499" sheet="1"/>
  <phoneticPr fontId="1" type="noConversion"/>
  <pageMargins left="0.78740157499999996" right="0.78740157499999996" top="0.984251969" bottom="0.984251969" header="0.4921259845" footer="0.492125984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Q37"/>
  <sheetViews>
    <sheetView showGridLines="0" zoomScaleNormal="100" workbookViewId="0">
      <selection activeCell="G6" sqref="G6"/>
    </sheetView>
  </sheetViews>
  <sheetFormatPr defaultRowHeight="12.75" x14ac:dyDescent="0.2"/>
  <cols>
    <col min="1" max="1" width="3.5703125" style="2" customWidth="1"/>
    <col min="2" max="7" width="10.5703125" style="2" customWidth="1"/>
    <col min="8" max="8" width="3.5703125" style="2" customWidth="1"/>
    <col min="9" max="10" width="15.7109375" style="2" customWidth="1"/>
    <col min="11" max="15" width="10.5703125" style="2" customWidth="1"/>
    <col min="16" max="16" width="11.85546875" style="2" customWidth="1"/>
    <col min="17" max="36" width="10.5703125" style="2" customWidth="1"/>
    <col min="37" max="16384" width="9.140625" style="2"/>
  </cols>
  <sheetData>
    <row r="2" spans="2:17" ht="15" customHeight="1" thickBot="1" x14ac:dyDescent="0.25">
      <c r="B2" s="1" t="s">
        <v>261</v>
      </c>
      <c r="I2" s="1" t="s">
        <v>262</v>
      </c>
    </row>
    <row r="3" spans="2:17" ht="15" customHeight="1" x14ac:dyDescent="0.2">
      <c r="B3" s="456" t="s">
        <v>105</v>
      </c>
      <c r="C3" s="457"/>
      <c r="D3" s="457"/>
      <c r="E3" s="457"/>
      <c r="F3" s="457"/>
      <c r="G3" s="458"/>
      <c r="I3" s="456" t="s">
        <v>123</v>
      </c>
      <c r="J3" s="457"/>
      <c r="K3" s="457"/>
      <c r="L3" s="457"/>
      <c r="M3" s="457"/>
      <c r="N3" s="457"/>
      <c r="O3" s="457"/>
      <c r="P3" s="457"/>
      <c r="Q3" s="458"/>
    </row>
    <row r="4" spans="2:17" ht="15" customHeight="1" x14ac:dyDescent="0.2">
      <c r="B4" s="451" t="s">
        <v>106</v>
      </c>
      <c r="C4" s="452"/>
      <c r="D4" s="453"/>
      <c r="E4" s="454" t="s">
        <v>107</v>
      </c>
      <c r="F4" s="452"/>
      <c r="G4" s="455"/>
      <c r="I4" s="451" t="s">
        <v>124</v>
      </c>
      <c r="J4" s="452"/>
      <c r="K4" s="452"/>
      <c r="L4" s="452"/>
      <c r="M4" s="452"/>
      <c r="N4" s="452"/>
      <c r="O4" s="452"/>
      <c r="P4" s="452"/>
      <c r="Q4" s="455"/>
    </row>
    <row r="5" spans="2:17" ht="48" customHeight="1" thickBot="1" x14ac:dyDescent="0.3">
      <c r="B5" s="109" t="s">
        <v>4</v>
      </c>
      <c r="C5" s="110" t="s">
        <v>5</v>
      </c>
      <c r="D5" s="111" t="s">
        <v>6</v>
      </c>
      <c r="E5" s="112" t="s">
        <v>4</v>
      </c>
      <c r="F5" s="113" t="s">
        <v>5</v>
      </c>
      <c r="G5" s="114" t="s">
        <v>6</v>
      </c>
      <c r="H5" s="115"/>
      <c r="I5" s="116"/>
      <c r="J5" s="117"/>
      <c r="K5" s="118" t="s">
        <v>111</v>
      </c>
      <c r="L5" s="119" t="s">
        <v>114</v>
      </c>
      <c r="M5" s="119" t="s">
        <v>113</v>
      </c>
      <c r="N5" s="119" t="s">
        <v>117</v>
      </c>
      <c r="O5" s="119" t="s">
        <v>116</v>
      </c>
      <c r="P5" s="119" t="s">
        <v>119</v>
      </c>
      <c r="Q5" s="120" t="s">
        <v>60</v>
      </c>
    </row>
    <row r="6" spans="2:17" ht="15" customHeight="1" thickBot="1" x14ac:dyDescent="0.25">
      <c r="B6" s="121" t="s">
        <v>99</v>
      </c>
      <c r="C6" s="122" t="s">
        <v>7</v>
      </c>
      <c r="D6" s="123">
        <v>7.81</v>
      </c>
      <c r="E6" s="124" t="s">
        <v>99</v>
      </c>
      <c r="F6" s="125" t="s">
        <v>7</v>
      </c>
      <c r="G6" s="126">
        <v>36.1</v>
      </c>
      <c r="H6" s="100"/>
      <c r="I6" s="19"/>
      <c r="J6" s="127"/>
      <c r="K6" s="128" t="s">
        <v>115</v>
      </c>
      <c r="L6" s="129" t="s">
        <v>59</v>
      </c>
      <c r="M6" s="129" t="s">
        <v>115</v>
      </c>
      <c r="N6" s="129" t="s">
        <v>118</v>
      </c>
      <c r="O6" s="129" t="s">
        <v>59</v>
      </c>
      <c r="P6" s="129" t="s">
        <v>125</v>
      </c>
      <c r="Q6" s="130" t="s">
        <v>163</v>
      </c>
    </row>
    <row r="7" spans="2:17" ht="15" customHeight="1" x14ac:dyDescent="0.2">
      <c r="B7" s="131" t="s">
        <v>100</v>
      </c>
      <c r="C7" s="132" t="s">
        <v>7</v>
      </c>
      <c r="D7" s="133">
        <v>6.49</v>
      </c>
      <c r="E7" s="134" t="s">
        <v>100</v>
      </c>
      <c r="F7" s="135" t="s">
        <v>7</v>
      </c>
      <c r="G7" s="136">
        <v>35.33</v>
      </c>
      <c r="I7" s="465" t="s">
        <v>108</v>
      </c>
      <c r="J7" s="466"/>
      <c r="K7" s="137">
        <v>36967</v>
      </c>
      <c r="L7" s="138">
        <f t="shared" ref="L7:L14" si="0">1/1.34*100</f>
        <v>74.626865671641781</v>
      </c>
      <c r="M7" s="139">
        <f t="shared" ref="M7:M14" si="1">K7/L7*100</f>
        <v>49535.780000000006</v>
      </c>
      <c r="N7" s="137">
        <v>140</v>
      </c>
      <c r="O7" s="137">
        <v>70</v>
      </c>
      <c r="P7" s="137" t="s">
        <v>301</v>
      </c>
      <c r="Q7" s="140">
        <f t="shared" ref="Q7:Q14" si="2">M7/N7/O7*100</f>
        <v>505.4671428571429</v>
      </c>
    </row>
    <row r="8" spans="2:17" ht="24" customHeight="1" x14ac:dyDescent="0.2">
      <c r="B8" s="131" t="s">
        <v>101</v>
      </c>
      <c r="C8" s="132" t="s">
        <v>7</v>
      </c>
      <c r="D8" s="133">
        <v>5.5</v>
      </c>
      <c r="E8" s="134" t="s">
        <v>101</v>
      </c>
      <c r="F8" s="135" t="s">
        <v>7</v>
      </c>
      <c r="G8" s="136">
        <v>33.19</v>
      </c>
      <c r="I8" s="463" t="s">
        <v>109</v>
      </c>
      <c r="J8" s="464"/>
      <c r="K8" s="141">
        <v>29509</v>
      </c>
      <c r="L8" s="142">
        <f t="shared" si="0"/>
        <v>74.626865671641781</v>
      </c>
      <c r="M8" s="143">
        <f t="shared" si="1"/>
        <v>39542.060000000005</v>
      </c>
      <c r="N8" s="141">
        <v>140</v>
      </c>
      <c r="O8" s="141">
        <v>70</v>
      </c>
      <c r="P8" s="141" t="s">
        <v>120</v>
      </c>
      <c r="Q8" s="144">
        <f t="shared" si="2"/>
        <v>403.49040816326533</v>
      </c>
    </row>
    <row r="9" spans="2:17" ht="15" customHeight="1" x14ac:dyDescent="0.2">
      <c r="B9" s="131" t="s">
        <v>102</v>
      </c>
      <c r="C9" s="132" t="s">
        <v>8</v>
      </c>
      <c r="D9" s="133">
        <v>44.77</v>
      </c>
      <c r="E9" s="134" t="s">
        <v>102</v>
      </c>
      <c r="F9" s="135" t="s">
        <v>9</v>
      </c>
      <c r="G9" s="136">
        <v>49.23</v>
      </c>
      <c r="I9" s="463" t="s">
        <v>112</v>
      </c>
      <c r="J9" s="464"/>
      <c r="K9" s="141">
        <v>22798</v>
      </c>
      <c r="L9" s="142">
        <f t="shared" si="0"/>
        <v>74.626865671641781</v>
      </c>
      <c r="M9" s="143">
        <f t="shared" si="1"/>
        <v>30549.320000000007</v>
      </c>
      <c r="N9" s="141">
        <v>140</v>
      </c>
      <c r="O9" s="141">
        <v>80</v>
      </c>
      <c r="P9" s="141" t="s">
        <v>126</v>
      </c>
      <c r="Q9" s="144">
        <f t="shared" si="2"/>
        <v>272.76178571428574</v>
      </c>
    </row>
    <row r="10" spans="2:17" ht="31.5" customHeight="1" x14ac:dyDescent="0.2">
      <c r="B10" s="131" t="s">
        <v>103</v>
      </c>
      <c r="C10" s="132" t="s">
        <v>8</v>
      </c>
      <c r="D10" s="133">
        <v>35.590000000000003</v>
      </c>
      <c r="E10" s="134" t="s">
        <v>103</v>
      </c>
      <c r="F10" s="135" t="s">
        <v>9</v>
      </c>
      <c r="G10" s="136">
        <v>43.88</v>
      </c>
      <c r="I10" s="463" t="s">
        <v>110</v>
      </c>
      <c r="J10" s="464"/>
      <c r="K10" s="141">
        <v>28343</v>
      </c>
      <c r="L10" s="142">
        <f t="shared" si="0"/>
        <v>74.626865671641781</v>
      </c>
      <c r="M10" s="143">
        <f t="shared" si="1"/>
        <v>37979.620000000003</v>
      </c>
      <c r="N10" s="141">
        <v>140</v>
      </c>
      <c r="O10" s="141">
        <v>50</v>
      </c>
      <c r="P10" s="141" t="s">
        <v>127</v>
      </c>
      <c r="Q10" s="144">
        <f t="shared" si="2"/>
        <v>542.56600000000003</v>
      </c>
    </row>
    <row r="11" spans="2:17" ht="15" customHeight="1" thickBot="1" x14ac:dyDescent="0.25">
      <c r="B11" s="145" t="s">
        <v>104</v>
      </c>
      <c r="C11" s="146" t="s">
        <v>9</v>
      </c>
      <c r="D11" s="147">
        <v>30.16</v>
      </c>
      <c r="E11" s="148" t="s">
        <v>104</v>
      </c>
      <c r="F11" s="149" t="s">
        <v>9</v>
      </c>
      <c r="G11" s="150">
        <v>33.6</v>
      </c>
      <c r="I11" s="468" t="s">
        <v>108</v>
      </c>
      <c r="J11" s="469"/>
      <c r="K11" s="151">
        <v>36967</v>
      </c>
      <c r="L11" s="142">
        <f t="shared" si="0"/>
        <v>74.626865671641781</v>
      </c>
      <c r="M11" s="152">
        <f t="shared" si="1"/>
        <v>49535.780000000006</v>
      </c>
      <c r="N11" s="141">
        <v>140</v>
      </c>
      <c r="O11" s="141">
        <v>50</v>
      </c>
      <c r="P11" s="141" t="s">
        <v>302</v>
      </c>
      <c r="Q11" s="144">
        <f t="shared" si="2"/>
        <v>707.65400000000011</v>
      </c>
    </row>
    <row r="12" spans="2:17" ht="15" customHeight="1" x14ac:dyDescent="0.2">
      <c r="B12" s="153"/>
      <c r="C12" s="154"/>
      <c r="D12" s="155"/>
      <c r="E12" s="153"/>
      <c r="F12" s="154"/>
      <c r="G12" s="155"/>
      <c r="I12" s="459"/>
      <c r="J12" s="460"/>
      <c r="K12" s="206"/>
      <c r="L12" s="207">
        <f t="shared" si="0"/>
        <v>74.626865671641781</v>
      </c>
      <c r="M12" s="156">
        <f t="shared" si="1"/>
        <v>0</v>
      </c>
      <c r="N12" s="206">
        <v>140</v>
      </c>
      <c r="O12" s="206">
        <v>80</v>
      </c>
      <c r="P12" s="206"/>
      <c r="Q12" s="157">
        <f t="shared" si="2"/>
        <v>0</v>
      </c>
    </row>
    <row r="13" spans="2:17" ht="15" customHeight="1" x14ac:dyDescent="0.2">
      <c r="D13" s="32"/>
      <c r="I13" s="459"/>
      <c r="J13" s="460"/>
      <c r="K13" s="206"/>
      <c r="L13" s="207">
        <f t="shared" si="0"/>
        <v>74.626865671641781</v>
      </c>
      <c r="M13" s="156">
        <f t="shared" si="1"/>
        <v>0</v>
      </c>
      <c r="N13" s="206">
        <v>140</v>
      </c>
      <c r="O13" s="206">
        <v>80</v>
      </c>
      <c r="P13" s="206"/>
      <c r="Q13" s="157">
        <f t="shared" si="2"/>
        <v>0</v>
      </c>
    </row>
    <row r="14" spans="2:17" ht="15" customHeight="1" thickBot="1" x14ac:dyDescent="0.25">
      <c r="D14" s="155"/>
      <c r="I14" s="461"/>
      <c r="J14" s="462"/>
      <c r="K14" s="208"/>
      <c r="L14" s="209">
        <f t="shared" si="0"/>
        <v>74.626865671641781</v>
      </c>
      <c r="M14" s="158">
        <f t="shared" si="1"/>
        <v>0</v>
      </c>
      <c r="N14" s="208">
        <v>140</v>
      </c>
      <c r="O14" s="208">
        <v>80</v>
      </c>
      <c r="P14" s="208"/>
      <c r="Q14" s="159">
        <f t="shared" si="2"/>
        <v>0</v>
      </c>
    </row>
    <row r="15" spans="2:17" ht="15" customHeight="1" x14ac:dyDescent="0.2">
      <c r="D15" s="32"/>
    </row>
    <row r="16" spans="2:17" ht="15" customHeight="1" x14ac:dyDescent="0.2">
      <c r="Q16" s="160"/>
    </row>
    <row r="17" spans="2:16" ht="15" customHeight="1" thickBot="1" x14ac:dyDescent="0.25">
      <c r="B17" s="1" t="s">
        <v>263</v>
      </c>
      <c r="I17" s="1" t="s">
        <v>264</v>
      </c>
      <c r="J17" s="161"/>
      <c r="K17" s="161"/>
      <c r="L17" s="161"/>
      <c r="M17" s="161"/>
      <c r="N17" s="161"/>
      <c r="O17" s="161"/>
    </row>
    <row r="18" spans="2:16" ht="15" customHeight="1" thickBot="1" x14ac:dyDescent="0.25">
      <c r="B18" s="477" t="s">
        <v>228</v>
      </c>
      <c r="C18" s="478"/>
      <c r="D18" s="479"/>
      <c r="I18" s="474" t="s">
        <v>260</v>
      </c>
      <c r="J18" s="475"/>
      <c r="K18" s="475"/>
      <c r="L18" s="475"/>
      <c r="M18" s="475"/>
      <c r="N18" s="475"/>
      <c r="O18" s="476"/>
    </row>
    <row r="19" spans="2:16" ht="15" customHeight="1" x14ac:dyDescent="0.2">
      <c r="B19" s="162" t="str">
        <f>C27</f>
        <v>motorová</v>
      </c>
      <c r="C19" s="210">
        <v>8.8800000000000008</v>
      </c>
      <c r="D19" s="163" t="s">
        <v>144</v>
      </c>
      <c r="I19" s="470" t="s">
        <v>259</v>
      </c>
      <c r="J19" s="471"/>
      <c r="K19" s="480" t="s">
        <v>243</v>
      </c>
      <c r="L19" s="481"/>
      <c r="M19" s="481" t="s">
        <v>244</v>
      </c>
      <c r="N19" s="481"/>
      <c r="O19" s="482" t="s">
        <v>232</v>
      </c>
    </row>
    <row r="20" spans="2:16" ht="15" customHeight="1" thickBot="1" x14ac:dyDescent="0.25">
      <c r="B20" s="164" t="str">
        <f>C28</f>
        <v>el.ss</v>
      </c>
      <c r="C20" s="211">
        <v>2.4</v>
      </c>
      <c r="D20" s="165" t="s">
        <v>144</v>
      </c>
      <c r="I20" s="472"/>
      <c r="J20" s="473"/>
      <c r="K20" s="166" t="s">
        <v>230</v>
      </c>
      <c r="L20" s="97" t="s">
        <v>231</v>
      </c>
      <c r="M20" s="97" t="s">
        <v>230</v>
      </c>
      <c r="N20" s="97" t="s">
        <v>231</v>
      </c>
      <c r="O20" s="483"/>
    </row>
    <row r="21" spans="2:16" ht="15" customHeight="1" x14ac:dyDescent="0.2">
      <c r="B21" s="164" t="str">
        <f>C29</f>
        <v>el.stř</v>
      </c>
      <c r="C21" s="211">
        <v>2.4</v>
      </c>
      <c r="D21" s="165" t="s">
        <v>144</v>
      </c>
      <c r="I21" s="167" t="s">
        <v>242</v>
      </c>
      <c r="J21" s="168"/>
      <c r="K21" s="51">
        <v>1</v>
      </c>
      <c r="L21" s="169">
        <v>2</v>
      </c>
      <c r="M21" s="169">
        <v>3</v>
      </c>
      <c r="N21" s="169">
        <v>4</v>
      </c>
      <c r="O21" s="170">
        <v>5</v>
      </c>
    </row>
    <row r="22" spans="2:16" ht="15" customHeight="1" thickBot="1" x14ac:dyDescent="0.25">
      <c r="B22" s="171" t="str">
        <f>C30</f>
        <v>hybridní</v>
      </c>
      <c r="C22" s="212">
        <v>5.64</v>
      </c>
      <c r="D22" s="172" t="s">
        <v>144</v>
      </c>
      <c r="I22" s="484" t="s">
        <v>372</v>
      </c>
      <c r="J22" s="485"/>
      <c r="K22" s="173">
        <v>25</v>
      </c>
      <c r="L22" s="174">
        <v>25</v>
      </c>
      <c r="M22" s="174">
        <v>20</v>
      </c>
      <c r="N22" s="174">
        <v>20</v>
      </c>
      <c r="O22" s="175">
        <v>43</v>
      </c>
    </row>
    <row r="23" spans="2:16" ht="15" customHeight="1" x14ac:dyDescent="0.2">
      <c r="B23" s="176"/>
      <c r="I23" s="449" t="s">
        <v>227</v>
      </c>
      <c r="J23" s="177">
        <v>1</v>
      </c>
      <c r="K23" s="173">
        <v>1</v>
      </c>
      <c r="L23" s="174">
        <v>1</v>
      </c>
      <c r="M23" s="174">
        <v>1</v>
      </c>
      <c r="N23" s="174">
        <v>1</v>
      </c>
      <c r="O23" s="175">
        <v>1</v>
      </c>
    </row>
    <row r="24" spans="2:16" ht="15" customHeight="1" x14ac:dyDescent="0.2">
      <c r="I24" s="449"/>
      <c r="J24" s="177">
        <v>2</v>
      </c>
      <c r="K24" s="173">
        <v>1.1000000000000001</v>
      </c>
      <c r="L24" s="174">
        <v>1.1000000000000001</v>
      </c>
      <c r="M24" s="174">
        <v>1.1000000000000001</v>
      </c>
      <c r="N24" s="174">
        <v>1.1000000000000001</v>
      </c>
      <c r="O24" s="175">
        <v>1.1000000000000001</v>
      </c>
    </row>
    <row r="25" spans="2:16" ht="15" customHeight="1" thickBot="1" x14ac:dyDescent="0.25">
      <c r="B25" s="1" t="s">
        <v>265</v>
      </c>
      <c r="I25" s="449"/>
      <c r="J25" s="177">
        <v>3</v>
      </c>
      <c r="K25" s="173">
        <v>1.3</v>
      </c>
      <c r="L25" s="174">
        <v>1.3</v>
      </c>
      <c r="M25" s="174">
        <v>1.3</v>
      </c>
      <c r="N25" s="174">
        <v>1.3</v>
      </c>
      <c r="O25" s="175">
        <v>1.3</v>
      </c>
    </row>
    <row r="26" spans="2:16" ht="15" customHeight="1" thickBot="1" x14ac:dyDescent="0.25">
      <c r="B26" s="178" t="s">
        <v>3</v>
      </c>
      <c r="C26" s="179" t="s">
        <v>10</v>
      </c>
      <c r="I26" s="449" t="s">
        <v>225</v>
      </c>
      <c r="J26" s="177">
        <v>1</v>
      </c>
      <c r="K26" s="173">
        <v>0.8</v>
      </c>
      <c r="L26" s="174">
        <v>0.8</v>
      </c>
      <c r="M26" s="174">
        <v>0.8</v>
      </c>
      <c r="N26" s="174">
        <v>0.8</v>
      </c>
      <c r="O26" s="175">
        <v>0.8</v>
      </c>
    </row>
    <row r="27" spans="2:16" ht="15" customHeight="1" x14ac:dyDescent="0.2">
      <c r="B27" s="180" t="s">
        <v>139</v>
      </c>
      <c r="C27" s="181" t="s">
        <v>141</v>
      </c>
      <c r="I27" s="449"/>
      <c r="J27" s="177">
        <v>2</v>
      </c>
      <c r="K27" s="173">
        <v>1</v>
      </c>
      <c r="L27" s="174">
        <v>1</v>
      </c>
      <c r="M27" s="174">
        <v>1</v>
      </c>
      <c r="N27" s="174">
        <v>1</v>
      </c>
      <c r="O27" s="175">
        <v>1</v>
      </c>
    </row>
    <row r="28" spans="2:16" ht="15" customHeight="1" x14ac:dyDescent="0.2">
      <c r="B28" s="182" t="s">
        <v>140</v>
      </c>
      <c r="C28" s="183" t="s">
        <v>381</v>
      </c>
      <c r="I28" s="449"/>
      <c r="J28" s="177">
        <v>3</v>
      </c>
      <c r="K28" s="173">
        <v>1.2</v>
      </c>
      <c r="L28" s="174">
        <v>1.2</v>
      </c>
      <c r="M28" s="174">
        <v>1.2</v>
      </c>
      <c r="N28" s="174">
        <v>1.2</v>
      </c>
      <c r="O28" s="175">
        <v>1.2</v>
      </c>
    </row>
    <row r="29" spans="2:16" ht="15" customHeight="1" thickBot="1" x14ac:dyDescent="0.25">
      <c r="B29" s="184" t="s">
        <v>229</v>
      </c>
      <c r="C29" s="183" t="s">
        <v>382</v>
      </c>
      <c r="I29" s="449" t="s">
        <v>226</v>
      </c>
      <c r="J29" s="177">
        <v>1</v>
      </c>
      <c r="K29" s="173">
        <v>0.9</v>
      </c>
      <c r="L29" s="174">
        <v>0.8</v>
      </c>
      <c r="M29" s="174">
        <v>0.9</v>
      </c>
      <c r="N29" s="174">
        <v>0.8</v>
      </c>
      <c r="O29" s="175">
        <v>0.9</v>
      </c>
      <c r="P29" s="185"/>
    </row>
    <row r="30" spans="2:16" ht="13.5" thickBot="1" x14ac:dyDescent="0.25">
      <c r="C30" s="186" t="s">
        <v>143</v>
      </c>
      <c r="I30" s="449"/>
      <c r="J30" s="177">
        <v>2</v>
      </c>
      <c r="K30" s="173">
        <v>1</v>
      </c>
      <c r="L30" s="174">
        <v>1</v>
      </c>
      <c r="M30" s="174">
        <v>1</v>
      </c>
      <c r="N30" s="174">
        <v>1</v>
      </c>
      <c r="O30" s="175">
        <v>1</v>
      </c>
      <c r="P30" s="185"/>
    </row>
    <row r="31" spans="2:16" x14ac:dyDescent="0.2">
      <c r="I31" s="449"/>
      <c r="J31" s="177">
        <v>3</v>
      </c>
      <c r="K31" s="173">
        <v>1.3</v>
      </c>
      <c r="L31" s="174">
        <v>1.2</v>
      </c>
      <c r="M31" s="174">
        <v>1.3</v>
      </c>
      <c r="N31" s="174">
        <v>1.2</v>
      </c>
      <c r="O31" s="175">
        <v>1.4</v>
      </c>
      <c r="P31" s="185"/>
    </row>
    <row r="32" spans="2:16" ht="13.5" thickBot="1" x14ac:dyDescent="0.25">
      <c r="B32" s="1" t="s">
        <v>296</v>
      </c>
      <c r="I32" s="467"/>
      <c r="J32" s="187">
        <v>4</v>
      </c>
      <c r="K32" s="188">
        <v>1.65</v>
      </c>
      <c r="L32" s="189">
        <v>1.55</v>
      </c>
      <c r="M32" s="189">
        <v>1.7</v>
      </c>
      <c r="N32" s="189">
        <v>1.6</v>
      </c>
      <c r="O32" s="190">
        <v>1.7</v>
      </c>
      <c r="P32" s="185"/>
    </row>
    <row r="33" spans="2:16" x14ac:dyDescent="0.2">
      <c r="B33" s="191" t="s">
        <v>295</v>
      </c>
      <c r="C33" s="192" t="s">
        <v>311</v>
      </c>
      <c r="D33" s="193">
        <v>0.85</v>
      </c>
      <c r="I33" s="467"/>
      <c r="J33" s="187">
        <v>5</v>
      </c>
      <c r="K33" s="188">
        <v>2</v>
      </c>
      <c r="L33" s="189">
        <v>1.9</v>
      </c>
      <c r="M33" s="189">
        <v>2.1</v>
      </c>
      <c r="N33" s="189">
        <v>2</v>
      </c>
      <c r="O33" s="190">
        <v>2.2000000000000002</v>
      </c>
      <c r="P33" s="185"/>
    </row>
    <row r="34" spans="2:16" ht="13.5" thickBot="1" x14ac:dyDescent="0.25">
      <c r="B34" s="194"/>
      <c r="C34" s="195" t="s">
        <v>312</v>
      </c>
      <c r="D34" s="196">
        <v>1</v>
      </c>
      <c r="I34" s="467"/>
      <c r="J34" s="187">
        <v>6</v>
      </c>
      <c r="K34" s="188">
        <v>2.35</v>
      </c>
      <c r="L34" s="197">
        <v>0</v>
      </c>
      <c r="M34" s="197">
        <v>0</v>
      </c>
      <c r="N34" s="197">
        <v>0</v>
      </c>
      <c r="O34" s="190">
        <v>2.75</v>
      </c>
      <c r="P34" s="185"/>
    </row>
    <row r="35" spans="2:16" x14ac:dyDescent="0.2">
      <c r="I35" s="448" t="s">
        <v>234</v>
      </c>
      <c r="J35" s="198" t="s">
        <v>235</v>
      </c>
      <c r="K35" s="199">
        <v>1.05</v>
      </c>
      <c r="L35" s="200">
        <v>1.05</v>
      </c>
      <c r="M35" s="200">
        <v>1.1000000000000001</v>
      </c>
      <c r="N35" s="200">
        <v>1.1000000000000001</v>
      </c>
      <c r="O35" s="201">
        <v>1.05</v>
      </c>
      <c r="P35" s="185"/>
    </row>
    <row r="36" spans="2:16" x14ac:dyDescent="0.2">
      <c r="I36" s="449"/>
      <c r="J36" s="177" t="s">
        <v>236</v>
      </c>
      <c r="K36" s="173">
        <v>1.1499999999999999</v>
      </c>
      <c r="L36" s="174">
        <v>1.1499999999999999</v>
      </c>
      <c r="M36" s="174">
        <v>1.05</v>
      </c>
      <c r="N36" s="174">
        <v>1.05</v>
      </c>
      <c r="O36" s="175">
        <v>1.05</v>
      </c>
    </row>
    <row r="37" spans="2:16" ht="13.5" thickBot="1" x14ac:dyDescent="0.25">
      <c r="I37" s="450"/>
      <c r="J37" s="202" t="s">
        <v>237</v>
      </c>
      <c r="K37" s="203">
        <v>1.1000000000000001</v>
      </c>
      <c r="L37" s="204">
        <v>1.1000000000000001</v>
      </c>
      <c r="M37" s="204">
        <v>1.1000000000000001</v>
      </c>
      <c r="N37" s="204">
        <v>1.1000000000000001</v>
      </c>
      <c r="O37" s="205">
        <v>1.1000000000000001</v>
      </c>
    </row>
  </sheetData>
  <sheetProtection password="A499" sheet="1"/>
  <mergeCells count="24">
    <mergeCell ref="I23:I25"/>
    <mergeCell ref="I19:J20"/>
    <mergeCell ref="I18:O18"/>
    <mergeCell ref="B18:D18"/>
    <mergeCell ref="K19:L19"/>
    <mergeCell ref="M19:N19"/>
    <mergeCell ref="O19:O20"/>
    <mergeCell ref="I22:J22"/>
    <mergeCell ref="I35:I37"/>
    <mergeCell ref="B4:D4"/>
    <mergeCell ref="E4:G4"/>
    <mergeCell ref="B3:G3"/>
    <mergeCell ref="I13:J13"/>
    <mergeCell ref="I14:J14"/>
    <mergeCell ref="I3:Q3"/>
    <mergeCell ref="I4:Q4"/>
    <mergeCell ref="I9:J9"/>
    <mergeCell ref="I7:J7"/>
    <mergeCell ref="I8:J8"/>
    <mergeCell ref="I26:I28"/>
    <mergeCell ref="I29:I34"/>
    <mergeCell ref="I10:J10"/>
    <mergeCell ref="I11:J11"/>
    <mergeCell ref="I12:J12"/>
  </mergeCells>
  <phoneticPr fontId="1" type="noConversion"/>
  <pageMargins left="0.78740157499999996" right="0.78740157499999996" top="0.984251969" bottom="0.984251969" header="0.4921259845" footer="0.4921259845"/>
  <pageSetup paperSize="192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Y99"/>
  <sheetViews>
    <sheetView showGridLines="0" zoomScaleNormal="100" workbookViewId="0">
      <selection activeCell="I11" sqref="I11"/>
    </sheetView>
  </sheetViews>
  <sheetFormatPr defaultRowHeight="12.75" x14ac:dyDescent="0.2"/>
  <cols>
    <col min="1" max="1" width="2.85546875" style="2" customWidth="1"/>
    <col min="2" max="2" width="23.28515625" style="2" customWidth="1"/>
    <col min="3" max="3" width="10.5703125" style="2" customWidth="1"/>
    <col min="4" max="4" width="10.5703125" style="3" customWidth="1"/>
    <col min="5" max="24" width="11.7109375" style="3" customWidth="1"/>
    <col min="25" max="16384" width="9.140625" style="2"/>
  </cols>
  <sheetData>
    <row r="2" spans="2:24" ht="13.5" thickBot="1" x14ac:dyDescent="0.25">
      <c r="B2" s="1" t="s">
        <v>272</v>
      </c>
    </row>
    <row r="3" spans="2:24" x14ac:dyDescent="0.2">
      <c r="B3" s="228" t="s">
        <v>0</v>
      </c>
      <c r="C3" s="229"/>
      <c r="D3" s="105"/>
      <c r="E3" s="230" t="s">
        <v>17</v>
      </c>
      <c r="F3" s="105" t="s">
        <v>18</v>
      </c>
      <c r="G3" s="105" t="s">
        <v>19</v>
      </c>
      <c r="H3" s="105" t="s">
        <v>20</v>
      </c>
      <c r="I3" s="105" t="s">
        <v>21</v>
      </c>
      <c r="J3" s="105" t="s">
        <v>22</v>
      </c>
      <c r="K3" s="105" t="s">
        <v>23</v>
      </c>
      <c r="L3" s="105" t="s">
        <v>24</v>
      </c>
      <c r="M3" s="105" t="s">
        <v>25</v>
      </c>
      <c r="N3" s="105" t="s">
        <v>26</v>
      </c>
      <c r="O3" s="105" t="s">
        <v>27</v>
      </c>
      <c r="P3" s="105" t="s">
        <v>28</v>
      </c>
      <c r="Q3" s="105" t="s">
        <v>29</v>
      </c>
      <c r="R3" s="105" t="s">
        <v>30</v>
      </c>
      <c r="S3" s="105" t="s">
        <v>31</v>
      </c>
      <c r="T3" s="105" t="s">
        <v>32</v>
      </c>
      <c r="U3" s="105" t="s">
        <v>33</v>
      </c>
      <c r="V3" s="105" t="s">
        <v>34</v>
      </c>
      <c r="W3" s="105" t="s">
        <v>35</v>
      </c>
      <c r="X3" s="106" t="s">
        <v>36</v>
      </c>
    </row>
    <row r="4" spans="2:24" x14ac:dyDescent="0.2">
      <c r="B4" s="231" t="s">
        <v>53</v>
      </c>
      <c r="C4" s="232"/>
      <c r="D4" s="107"/>
      <c r="E4" s="288" t="s">
        <v>388</v>
      </c>
      <c r="F4" s="289" t="s">
        <v>389</v>
      </c>
      <c r="G4" s="289" t="s">
        <v>390</v>
      </c>
      <c r="H4" s="289" t="s">
        <v>391</v>
      </c>
      <c r="I4" s="289" t="s">
        <v>393</v>
      </c>
      <c r="J4" s="289"/>
      <c r="K4" s="290"/>
      <c r="L4" s="290"/>
      <c r="M4" s="290"/>
      <c r="N4" s="290"/>
      <c r="O4" s="290"/>
      <c r="P4" s="290"/>
      <c r="Q4" s="290"/>
      <c r="R4" s="290"/>
      <c r="S4" s="290"/>
      <c r="T4" s="290"/>
      <c r="U4" s="289"/>
      <c r="V4" s="289"/>
      <c r="W4" s="289"/>
      <c r="X4" s="291"/>
    </row>
    <row r="5" spans="2:24" x14ac:dyDescent="0.2">
      <c r="B5" s="19" t="s">
        <v>39</v>
      </c>
      <c r="C5" s="20"/>
      <c r="D5" s="16"/>
      <c r="E5" s="292">
        <v>440</v>
      </c>
      <c r="F5" s="292">
        <v>440</v>
      </c>
      <c r="G5" s="292">
        <v>440</v>
      </c>
      <c r="H5" s="294" t="s">
        <v>214</v>
      </c>
      <c r="I5" s="294" t="s">
        <v>214</v>
      </c>
      <c r="J5" s="293"/>
      <c r="K5" s="294"/>
      <c r="L5" s="294"/>
      <c r="M5" s="293"/>
      <c r="N5" s="293"/>
      <c r="O5" s="293"/>
      <c r="P5" s="293"/>
      <c r="Q5" s="293"/>
      <c r="R5" s="293"/>
      <c r="S5" s="293"/>
      <c r="T5" s="293"/>
      <c r="U5" s="293"/>
      <c r="V5" s="293"/>
      <c r="W5" s="293"/>
      <c r="X5" s="295"/>
    </row>
    <row r="6" spans="2:24" x14ac:dyDescent="0.2">
      <c r="B6" s="14" t="s">
        <v>95</v>
      </c>
      <c r="C6" s="15"/>
      <c r="D6" s="16" t="s">
        <v>40</v>
      </c>
      <c r="E6" s="292">
        <v>3</v>
      </c>
      <c r="F6" s="292">
        <v>3</v>
      </c>
      <c r="G6" s="292">
        <v>3</v>
      </c>
      <c r="H6" s="293">
        <v>1</v>
      </c>
      <c r="I6" s="293">
        <v>1</v>
      </c>
      <c r="J6" s="293"/>
      <c r="K6" s="293"/>
      <c r="L6" s="293"/>
      <c r="M6" s="293"/>
      <c r="N6" s="293"/>
      <c r="O6" s="293"/>
      <c r="P6" s="293"/>
      <c r="Q6" s="293"/>
      <c r="R6" s="293"/>
      <c r="S6" s="293"/>
      <c r="T6" s="293"/>
      <c r="U6" s="293"/>
      <c r="V6" s="293"/>
      <c r="W6" s="293"/>
      <c r="X6" s="295"/>
    </row>
    <row r="7" spans="2:24" x14ac:dyDescent="0.2">
      <c r="B7" s="14" t="s">
        <v>93</v>
      </c>
      <c r="C7" s="15"/>
      <c r="D7" s="16" t="s">
        <v>41</v>
      </c>
      <c r="E7" s="292">
        <v>45</v>
      </c>
      <c r="F7" s="292">
        <v>45</v>
      </c>
      <c r="G7" s="292">
        <v>45</v>
      </c>
      <c r="H7" s="293">
        <v>110</v>
      </c>
      <c r="I7" s="293">
        <v>110</v>
      </c>
      <c r="J7" s="293"/>
      <c r="K7" s="293"/>
      <c r="L7" s="293"/>
      <c r="M7" s="293"/>
      <c r="N7" s="293"/>
      <c r="O7" s="293"/>
      <c r="P7" s="293"/>
      <c r="Q7" s="293"/>
      <c r="R7" s="293"/>
      <c r="S7" s="293"/>
      <c r="T7" s="293"/>
      <c r="U7" s="293"/>
      <c r="V7" s="293"/>
      <c r="W7" s="293"/>
      <c r="X7" s="295"/>
    </row>
    <row r="8" spans="2:24" x14ac:dyDescent="0.2">
      <c r="B8" s="14" t="s">
        <v>97</v>
      </c>
      <c r="C8" s="15"/>
      <c r="D8" s="16" t="s">
        <v>42</v>
      </c>
      <c r="E8" s="292">
        <v>15</v>
      </c>
      <c r="F8" s="292">
        <v>15</v>
      </c>
      <c r="G8" s="292">
        <v>15</v>
      </c>
      <c r="H8" s="293">
        <v>15</v>
      </c>
      <c r="I8" s="293">
        <v>15</v>
      </c>
      <c r="J8" s="293"/>
      <c r="K8" s="293"/>
      <c r="L8" s="293"/>
      <c r="M8" s="293"/>
      <c r="N8" s="293"/>
      <c r="O8" s="293"/>
      <c r="P8" s="293"/>
      <c r="Q8" s="293"/>
      <c r="R8" s="293"/>
      <c r="S8" s="293"/>
      <c r="T8" s="293"/>
      <c r="U8" s="293"/>
      <c r="V8" s="293"/>
      <c r="W8" s="293"/>
      <c r="X8" s="295"/>
    </row>
    <row r="9" spans="2:24" x14ac:dyDescent="0.2">
      <c r="B9" s="81" t="s">
        <v>92</v>
      </c>
      <c r="C9" s="233"/>
      <c r="D9" s="23" t="s">
        <v>15</v>
      </c>
      <c r="E9" s="296">
        <v>90</v>
      </c>
      <c r="F9" s="296">
        <v>90</v>
      </c>
      <c r="G9" s="296">
        <v>90</v>
      </c>
      <c r="H9" s="297">
        <v>90</v>
      </c>
      <c r="I9" s="297">
        <v>90</v>
      </c>
      <c r="J9" s="297"/>
      <c r="K9" s="297"/>
      <c r="L9" s="297"/>
      <c r="M9" s="297"/>
      <c r="N9" s="297"/>
      <c r="O9" s="297"/>
      <c r="P9" s="297"/>
      <c r="Q9" s="297"/>
      <c r="R9" s="297"/>
      <c r="S9" s="297"/>
      <c r="T9" s="297"/>
      <c r="U9" s="297"/>
      <c r="V9" s="297"/>
      <c r="W9" s="297"/>
      <c r="X9" s="298"/>
    </row>
    <row r="10" spans="2:24" x14ac:dyDescent="0.2">
      <c r="B10" s="19" t="s">
        <v>39</v>
      </c>
      <c r="C10" s="20"/>
      <c r="D10" s="16"/>
      <c r="E10" s="292">
        <v>440</v>
      </c>
      <c r="F10" s="292">
        <v>440</v>
      </c>
      <c r="G10" s="292">
        <v>440</v>
      </c>
      <c r="H10" s="294" t="s">
        <v>392</v>
      </c>
      <c r="I10" s="294" t="s">
        <v>392</v>
      </c>
      <c r="J10" s="293"/>
      <c r="K10" s="293"/>
      <c r="L10" s="293"/>
      <c r="M10" s="293"/>
      <c r="N10" s="293"/>
      <c r="O10" s="293"/>
      <c r="P10" s="293"/>
      <c r="Q10" s="293"/>
      <c r="R10" s="293"/>
      <c r="S10" s="293"/>
      <c r="T10" s="293"/>
      <c r="U10" s="293"/>
      <c r="V10" s="293"/>
      <c r="W10" s="293"/>
      <c r="X10" s="295"/>
    </row>
    <row r="11" spans="2:24" x14ac:dyDescent="0.2">
      <c r="B11" s="14" t="s">
        <v>95</v>
      </c>
      <c r="C11" s="15"/>
      <c r="D11" s="16" t="s">
        <v>40</v>
      </c>
      <c r="E11" s="292">
        <v>3</v>
      </c>
      <c r="F11" s="292">
        <v>3</v>
      </c>
      <c r="G11" s="292">
        <v>3</v>
      </c>
      <c r="H11" s="293">
        <v>30</v>
      </c>
      <c r="I11" s="293">
        <v>25</v>
      </c>
      <c r="J11" s="293"/>
      <c r="K11" s="293"/>
      <c r="L11" s="293"/>
      <c r="M11" s="293"/>
      <c r="N11" s="293"/>
      <c r="O11" s="293"/>
      <c r="P11" s="293"/>
      <c r="Q11" s="293"/>
      <c r="R11" s="293"/>
      <c r="S11" s="293"/>
      <c r="T11" s="293"/>
      <c r="U11" s="293"/>
      <c r="V11" s="293"/>
      <c r="W11" s="293"/>
      <c r="X11" s="295"/>
    </row>
    <row r="12" spans="2:24" x14ac:dyDescent="0.2">
      <c r="B12" s="14" t="s">
        <v>93</v>
      </c>
      <c r="C12" s="15"/>
      <c r="D12" s="16" t="s">
        <v>41</v>
      </c>
      <c r="E12" s="292">
        <v>45</v>
      </c>
      <c r="F12" s="292">
        <v>45</v>
      </c>
      <c r="G12" s="292">
        <v>45</v>
      </c>
      <c r="H12" s="293">
        <v>25</v>
      </c>
      <c r="I12" s="293">
        <v>25</v>
      </c>
      <c r="J12" s="293"/>
      <c r="K12" s="293"/>
      <c r="L12" s="293"/>
      <c r="M12" s="293"/>
      <c r="N12" s="293"/>
      <c r="O12" s="293"/>
      <c r="P12" s="293"/>
      <c r="Q12" s="293"/>
      <c r="R12" s="293"/>
      <c r="S12" s="293"/>
      <c r="T12" s="293"/>
      <c r="U12" s="293"/>
      <c r="V12" s="293"/>
      <c r="W12" s="293"/>
      <c r="X12" s="295"/>
    </row>
    <row r="13" spans="2:24" x14ac:dyDescent="0.2">
      <c r="B13" s="14" t="s">
        <v>97</v>
      </c>
      <c r="C13" s="15"/>
      <c r="D13" s="16" t="s">
        <v>42</v>
      </c>
      <c r="E13" s="292">
        <v>15</v>
      </c>
      <c r="F13" s="292">
        <v>15</v>
      </c>
      <c r="G13" s="292">
        <v>15</v>
      </c>
      <c r="H13" s="293">
        <v>15</v>
      </c>
      <c r="I13" s="293">
        <v>15</v>
      </c>
      <c r="J13" s="293"/>
      <c r="K13" s="293"/>
      <c r="L13" s="293"/>
      <c r="M13" s="293"/>
      <c r="N13" s="293"/>
      <c r="O13" s="293"/>
      <c r="P13" s="293"/>
      <c r="Q13" s="293"/>
      <c r="R13" s="293"/>
      <c r="S13" s="293"/>
      <c r="T13" s="293"/>
      <c r="U13" s="293"/>
      <c r="V13" s="293"/>
      <c r="W13" s="293"/>
      <c r="X13" s="295"/>
    </row>
    <row r="14" spans="2:24" x14ac:dyDescent="0.2">
      <c r="B14" s="81" t="s">
        <v>92</v>
      </c>
      <c r="C14" s="233"/>
      <c r="D14" s="23" t="s">
        <v>15</v>
      </c>
      <c r="E14" s="296">
        <v>90</v>
      </c>
      <c r="F14" s="296">
        <v>90</v>
      </c>
      <c r="G14" s="296">
        <v>90</v>
      </c>
      <c r="H14" s="297">
        <v>50</v>
      </c>
      <c r="I14" s="297">
        <v>50</v>
      </c>
      <c r="J14" s="297"/>
      <c r="K14" s="297"/>
      <c r="L14" s="297"/>
      <c r="M14" s="297"/>
      <c r="N14" s="297"/>
      <c r="O14" s="297"/>
      <c r="P14" s="297"/>
      <c r="Q14" s="297"/>
      <c r="R14" s="297"/>
      <c r="S14" s="297"/>
      <c r="T14" s="297"/>
      <c r="U14" s="297"/>
      <c r="V14" s="297"/>
      <c r="W14" s="297"/>
      <c r="X14" s="298"/>
    </row>
    <row r="15" spans="2:24" x14ac:dyDescent="0.2">
      <c r="B15" s="19" t="s">
        <v>39</v>
      </c>
      <c r="C15" s="20"/>
      <c r="D15" s="16"/>
      <c r="E15" s="292"/>
      <c r="F15" s="293"/>
      <c r="G15" s="293"/>
      <c r="H15" s="294"/>
      <c r="I15" s="293"/>
      <c r="J15" s="293"/>
      <c r="K15" s="293"/>
      <c r="L15" s="293"/>
      <c r="M15" s="293"/>
      <c r="N15" s="293"/>
      <c r="O15" s="293"/>
      <c r="P15" s="293"/>
      <c r="Q15" s="293"/>
      <c r="R15" s="293"/>
      <c r="S15" s="293"/>
      <c r="T15" s="293"/>
      <c r="U15" s="293"/>
      <c r="V15" s="293"/>
      <c r="W15" s="293"/>
      <c r="X15" s="295"/>
    </row>
    <row r="16" spans="2:24" x14ac:dyDescent="0.2">
      <c r="B16" s="14" t="s">
        <v>95</v>
      </c>
      <c r="C16" s="15"/>
      <c r="D16" s="16" t="s">
        <v>40</v>
      </c>
      <c r="E16" s="292"/>
      <c r="F16" s="293"/>
      <c r="G16" s="293"/>
      <c r="H16" s="293"/>
      <c r="I16" s="293"/>
      <c r="J16" s="293"/>
      <c r="K16" s="293"/>
      <c r="L16" s="293"/>
      <c r="M16" s="293"/>
      <c r="N16" s="293"/>
      <c r="O16" s="293"/>
      <c r="P16" s="293"/>
      <c r="Q16" s="293"/>
      <c r="R16" s="293"/>
      <c r="S16" s="293"/>
      <c r="T16" s="293"/>
      <c r="U16" s="293"/>
      <c r="V16" s="293"/>
      <c r="W16" s="293"/>
      <c r="X16" s="295"/>
    </row>
    <row r="17" spans="2:25" x14ac:dyDescent="0.2">
      <c r="B17" s="14" t="s">
        <v>93</v>
      </c>
      <c r="C17" s="15"/>
      <c r="D17" s="16" t="s">
        <v>41</v>
      </c>
      <c r="E17" s="292"/>
      <c r="F17" s="293"/>
      <c r="G17" s="293"/>
      <c r="H17" s="293"/>
      <c r="I17" s="293"/>
      <c r="J17" s="293"/>
      <c r="K17" s="293"/>
      <c r="L17" s="293"/>
      <c r="M17" s="293"/>
      <c r="N17" s="293"/>
      <c r="O17" s="293"/>
      <c r="P17" s="293"/>
      <c r="Q17" s="293"/>
      <c r="R17" s="293"/>
      <c r="S17" s="293"/>
      <c r="T17" s="293"/>
      <c r="U17" s="293"/>
      <c r="V17" s="293"/>
      <c r="W17" s="293"/>
      <c r="X17" s="295"/>
    </row>
    <row r="18" spans="2:25" x14ac:dyDescent="0.2">
      <c r="B18" s="14" t="s">
        <v>97</v>
      </c>
      <c r="C18" s="15"/>
      <c r="D18" s="16" t="s">
        <v>42</v>
      </c>
      <c r="E18" s="292"/>
      <c r="F18" s="293"/>
      <c r="G18" s="293"/>
      <c r="H18" s="293"/>
      <c r="I18" s="293"/>
      <c r="J18" s="293"/>
      <c r="K18" s="293"/>
      <c r="L18" s="293"/>
      <c r="M18" s="293"/>
      <c r="N18" s="293"/>
      <c r="O18" s="293"/>
      <c r="P18" s="293"/>
      <c r="Q18" s="293"/>
      <c r="R18" s="293"/>
      <c r="S18" s="293"/>
      <c r="T18" s="293"/>
      <c r="U18" s="293"/>
      <c r="V18" s="293"/>
      <c r="W18" s="293"/>
      <c r="X18" s="295"/>
    </row>
    <row r="19" spans="2:25" x14ac:dyDescent="0.2">
      <c r="B19" s="81" t="s">
        <v>92</v>
      </c>
      <c r="C19" s="233"/>
      <c r="D19" s="23" t="s">
        <v>15</v>
      </c>
      <c r="E19" s="296"/>
      <c r="F19" s="297"/>
      <c r="G19" s="297"/>
      <c r="H19" s="297"/>
      <c r="I19" s="297"/>
      <c r="J19" s="297"/>
      <c r="K19" s="297"/>
      <c r="L19" s="297"/>
      <c r="M19" s="297"/>
      <c r="N19" s="297"/>
      <c r="O19" s="297"/>
      <c r="P19" s="297"/>
      <c r="Q19" s="297"/>
      <c r="R19" s="297"/>
      <c r="S19" s="297"/>
      <c r="T19" s="297"/>
      <c r="U19" s="297"/>
      <c r="V19" s="297"/>
      <c r="W19" s="297"/>
      <c r="X19" s="298"/>
    </row>
    <row r="20" spans="2:25" x14ac:dyDescent="0.2">
      <c r="B20" s="19" t="s">
        <v>39</v>
      </c>
      <c r="C20" s="20"/>
      <c r="D20" s="16"/>
      <c r="E20" s="292"/>
      <c r="F20" s="293"/>
      <c r="G20" s="293"/>
      <c r="H20" s="293"/>
      <c r="I20" s="293"/>
      <c r="J20" s="293"/>
      <c r="K20" s="293"/>
      <c r="L20" s="293"/>
      <c r="M20" s="293"/>
      <c r="N20" s="293"/>
      <c r="O20" s="293"/>
      <c r="P20" s="293"/>
      <c r="Q20" s="293"/>
      <c r="R20" s="293"/>
      <c r="S20" s="293"/>
      <c r="T20" s="293"/>
      <c r="U20" s="293"/>
      <c r="V20" s="293"/>
      <c r="W20" s="293"/>
      <c r="X20" s="295"/>
    </row>
    <row r="21" spans="2:25" x14ac:dyDescent="0.2">
      <c r="B21" s="14" t="s">
        <v>95</v>
      </c>
      <c r="C21" s="15"/>
      <c r="D21" s="16" t="s">
        <v>40</v>
      </c>
      <c r="E21" s="292"/>
      <c r="F21" s="293"/>
      <c r="G21" s="293"/>
      <c r="H21" s="293"/>
      <c r="I21" s="293"/>
      <c r="J21" s="293"/>
      <c r="K21" s="293"/>
      <c r="L21" s="293"/>
      <c r="M21" s="293"/>
      <c r="N21" s="293"/>
      <c r="O21" s="293"/>
      <c r="P21" s="293"/>
      <c r="Q21" s="293"/>
      <c r="R21" s="293"/>
      <c r="S21" s="293"/>
      <c r="T21" s="293"/>
      <c r="U21" s="293"/>
      <c r="V21" s="293"/>
      <c r="W21" s="293"/>
      <c r="X21" s="295"/>
    </row>
    <row r="22" spans="2:25" x14ac:dyDescent="0.2">
      <c r="B22" s="14" t="s">
        <v>93</v>
      </c>
      <c r="C22" s="15"/>
      <c r="D22" s="16" t="s">
        <v>41</v>
      </c>
      <c r="E22" s="292"/>
      <c r="F22" s="293"/>
      <c r="G22" s="293"/>
      <c r="H22" s="293"/>
      <c r="I22" s="293"/>
      <c r="J22" s="293"/>
      <c r="K22" s="293"/>
      <c r="L22" s="293"/>
      <c r="M22" s="293"/>
      <c r="N22" s="293"/>
      <c r="O22" s="293"/>
      <c r="P22" s="293"/>
      <c r="Q22" s="293"/>
      <c r="R22" s="293"/>
      <c r="S22" s="293"/>
      <c r="T22" s="293"/>
      <c r="U22" s="293"/>
      <c r="V22" s="293"/>
      <c r="W22" s="293"/>
      <c r="X22" s="295"/>
    </row>
    <row r="23" spans="2:25" x14ac:dyDescent="0.2">
      <c r="B23" s="14" t="s">
        <v>97</v>
      </c>
      <c r="C23" s="15"/>
      <c r="D23" s="16" t="s">
        <v>42</v>
      </c>
      <c r="E23" s="292"/>
      <c r="F23" s="293"/>
      <c r="G23" s="293"/>
      <c r="H23" s="293"/>
      <c r="I23" s="293"/>
      <c r="J23" s="293"/>
      <c r="K23" s="293"/>
      <c r="L23" s="293"/>
      <c r="M23" s="293"/>
      <c r="N23" s="293"/>
      <c r="O23" s="293"/>
      <c r="P23" s="293"/>
      <c r="Q23" s="293"/>
      <c r="R23" s="293"/>
      <c r="S23" s="293"/>
      <c r="T23" s="293"/>
      <c r="U23" s="293"/>
      <c r="V23" s="293"/>
      <c r="W23" s="293"/>
      <c r="X23" s="295"/>
    </row>
    <row r="24" spans="2:25" x14ac:dyDescent="0.2">
      <c r="B24" s="81" t="s">
        <v>92</v>
      </c>
      <c r="C24" s="233"/>
      <c r="D24" s="23" t="s">
        <v>15</v>
      </c>
      <c r="E24" s="296"/>
      <c r="F24" s="297"/>
      <c r="G24" s="297"/>
      <c r="H24" s="297"/>
      <c r="I24" s="297"/>
      <c r="J24" s="297"/>
      <c r="K24" s="297"/>
      <c r="L24" s="297"/>
      <c r="M24" s="297"/>
      <c r="N24" s="297"/>
      <c r="O24" s="297"/>
      <c r="P24" s="297"/>
      <c r="Q24" s="297"/>
      <c r="R24" s="297"/>
      <c r="S24" s="297"/>
      <c r="T24" s="297"/>
      <c r="U24" s="297"/>
      <c r="V24" s="297"/>
      <c r="W24" s="297"/>
      <c r="X24" s="298"/>
    </row>
    <row r="25" spans="2:25" x14ac:dyDescent="0.2">
      <c r="B25" s="19" t="s">
        <v>39</v>
      </c>
      <c r="C25" s="20"/>
      <c r="D25" s="16"/>
      <c r="E25" s="292"/>
      <c r="F25" s="293"/>
      <c r="G25" s="293"/>
      <c r="H25" s="293"/>
      <c r="I25" s="293"/>
      <c r="J25" s="293"/>
      <c r="K25" s="293"/>
      <c r="L25" s="293"/>
      <c r="M25" s="293"/>
      <c r="N25" s="293"/>
      <c r="O25" s="293"/>
      <c r="P25" s="293"/>
      <c r="Q25" s="293"/>
      <c r="R25" s="293"/>
      <c r="S25" s="293"/>
      <c r="T25" s="293"/>
      <c r="U25" s="293"/>
      <c r="V25" s="293"/>
      <c r="W25" s="293"/>
      <c r="X25" s="295"/>
    </row>
    <row r="26" spans="2:25" x14ac:dyDescent="0.2">
      <c r="B26" s="14" t="s">
        <v>95</v>
      </c>
      <c r="C26" s="15"/>
      <c r="D26" s="16" t="s">
        <v>40</v>
      </c>
      <c r="E26" s="292"/>
      <c r="F26" s="293"/>
      <c r="G26" s="293"/>
      <c r="H26" s="293"/>
      <c r="I26" s="293"/>
      <c r="J26" s="293"/>
      <c r="K26" s="293"/>
      <c r="L26" s="293"/>
      <c r="M26" s="293"/>
      <c r="N26" s="293"/>
      <c r="O26" s="293"/>
      <c r="P26" s="293"/>
      <c r="Q26" s="293"/>
      <c r="R26" s="293"/>
      <c r="S26" s="293"/>
      <c r="T26" s="293"/>
      <c r="U26" s="293"/>
      <c r="V26" s="293"/>
      <c r="W26" s="293"/>
      <c r="X26" s="295"/>
    </row>
    <row r="27" spans="2:25" x14ac:dyDescent="0.2">
      <c r="B27" s="14" t="s">
        <v>93</v>
      </c>
      <c r="C27" s="15"/>
      <c r="D27" s="16" t="s">
        <v>41</v>
      </c>
      <c r="E27" s="292"/>
      <c r="F27" s="293"/>
      <c r="G27" s="293"/>
      <c r="H27" s="293"/>
      <c r="I27" s="293"/>
      <c r="J27" s="293"/>
      <c r="K27" s="293"/>
      <c r="L27" s="293"/>
      <c r="M27" s="293"/>
      <c r="N27" s="293"/>
      <c r="O27" s="293"/>
      <c r="P27" s="293"/>
      <c r="Q27" s="293"/>
      <c r="R27" s="293"/>
      <c r="S27" s="293"/>
      <c r="T27" s="293"/>
      <c r="U27" s="293"/>
      <c r="V27" s="293"/>
      <c r="W27" s="293"/>
      <c r="X27" s="295"/>
    </row>
    <row r="28" spans="2:25" x14ac:dyDescent="0.2">
      <c r="B28" s="14" t="s">
        <v>97</v>
      </c>
      <c r="C28" s="15"/>
      <c r="D28" s="16" t="s">
        <v>42</v>
      </c>
      <c r="E28" s="292"/>
      <c r="F28" s="293"/>
      <c r="G28" s="293"/>
      <c r="H28" s="293"/>
      <c r="I28" s="293"/>
      <c r="J28" s="293"/>
      <c r="K28" s="293"/>
      <c r="L28" s="293"/>
      <c r="M28" s="293"/>
      <c r="N28" s="293"/>
      <c r="O28" s="293"/>
      <c r="P28" s="293"/>
      <c r="Q28" s="293"/>
      <c r="R28" s="293"/>
      <c r="S28" s="293"/>
      <c r="T28" s="293"/>
      <c r="U28" s="293"/>
      <c r="V28" s="293"/>
      <c r="W28" s="293"/>
      <c r="X28" s="295"/>
    </row>
    <row r="29" spans="2:25" ht="13.5" thickBot="1" x14ac:dyDescent="0.25">
      <c r="B29" s="14" t="s">
        <v>92</v>
      </c>
      <c r="C29" s="15"/>
      <c r="D29" s="16" t="s">
        <v>15</v>
      </c>
      <c r="E29" s="292"/>
      <c r="F29" s="293"/>
      <c r="G29" s="293"/>
      <c r="H29" s="293"/>
      <c r="I29" s="293"/>
      <c r="J29" s="293"/>
      <c r="K29" s="293"/>
      <c r="L29" s="293"/>
      <c r="M29" s="293"/>
      <c r="N29" s="293"/>
      <c r="O29" s="293"/>
      <c r="P29" s="293"/>
      <c r="Q29" s="293"/>
      <c r="R29" s="293"/>
      <c r="S29" s="293"/>
      <c r="T29" s="293"/>
      <c r="U29" s="293"/>
      <c r="V29" s="293"/>
      <c r="W29" s="293"/>
      <c r="X29" s="295"/>
    </row>
    <row r="30" spans="2:25" x14ac:dyDescent="0.2">
      <c r="B30" s="234" t="s">
        <v>94</v>
      </c>
      <c r="C30" s="235"/>
      <c r="D30" s="236" t="s">
        <v>43</v>
      </c>
      <c r="E30" s="237">
        <f>E6*E7+E11*E12+E16*E17+E21*E22+E26*E27</f>
        <v>270</v>
      </c>
      <c r="F30" s="238">
        <f>F6*F7+F11*F12+F16*F17+F21*F22+F26*F27</f>
        <v>270</v>
      </c>
      <c r="G30" s="238">
        <f t="shared" ref="G30:X30" si="0">G6*G7+G11*G12+G16*G17+G21*G22+G26*G27</f>
        <v>270</v>
      </c>
      <c r="H30" s="238">
        <f t="shared" si="0"/>
        <v>860</v>
      </c>
      <c r="I30" s="238">
        <f t="shared" si="0"/>
        <v>735</v>
      </c>
      <c r="J30" s="238">
        <f t="shared" si="0"/>
        <v>0</v>
      </c>
      <c r="K30" s="238">
        <f t="shared" si="0"/>
        <v>0</v>
      </c>
      <c r="L30" s="238">
        <f t="shared" si="0"/>
        <v>0</v>
      </c>
      <c r="M30" s="238">
        <f t="shared" si="0"/>
        <v>0</v>
      </c>
      <c r="N30" s="238">
        <f t="shared" si="0"/>
        <v>0</v>
      </c>
      <c r="O30" s="238">
        <f t="shared" si="0"/>
        <v>0</v>
      </c>
      <c r="P30" s="238">
        <f t="shared" si="0"/>
        <v>0</v>
      </c>
      <c r="Q30" s="238">
        <f t="shared" si="0"/>
        <v>0</v>
      </c>
      <c r="R30" s="238">
        <f t="shared" si="0"/>
        <v>0</v>
      </c>
      <c r="S30" s="238">
        <f t="shared" si="0"/>
        <v>0</v>
      </c>
      <c r="T30" s="238">
        <f t="shared" si="0"/>
        <v>0</v>
      </c>
      <c r="U30" s="238">
        <f t="shared" si="0"/>
        <v>0</v>
      </c>
      <c r="V30" s="238">
        <f t="shared" si="0"/>
        <v>0</v>
      </c>
      <c r="W30" s="238">
        <f t="shared" si="0"/>
        <v>0</v>
      </c>
      <c r="X30" s="239">
        <f t="shared" si="0"/>
        <v>0</v>
      </c>
    </row>
    <row r="31" spans="2:25" ht="13.5" thickBot="1" x14ac:dyDescent="0.25">
      <c r="B31" s="240" t="s">
        <v>96</v>
      </c>
      <c r="C31" s="241"/>
      <c r="D31" s="242" t="s">
        <v>132</v>
      </c>
      <c r="E31" s="243">
        <f>(E7*E6*(E9/100)+E11*E12*(E14/100)+E16*E17*(E19/100)+E21*E22*(E24/100)+E26*E27*(E29/100))/30</f>
        <v>8.1</v>
      </c>
      <c r="F31" s="244">
        <f>(F7*F6*(F9/100)+F11*F12*(F14/100)+F16*F17*(F19/100)+F21*F22*(F24/100)+F26*F27*(F29/100))/30</f>
        <v>8.1</v>
      </c>
      <c r="G31" s="244">
        <f t="shared" ref="G31:X31" si="1">(G7*G6*(G9/100)+G11*G12*(G14/100)+G16*G17*(G19/100)+G21*G22*(G24/100)+G26*G27*(G29/100))/30</f>
        <v>8.1</v>
      </c>
      <c r="H31" s="244">
        <f t="shared" si="1"/>
        <v>15.8</v>
      </c>
      <c r="I31" s="244">
        <f t="shared" si="1"/>
        <v>13.716666666666667</v>
      </c>
      <c r="J31" s="244">
        <f t="shared" si="1"/>
        <v>0</v>
      </c>
      <c r="K31" s="244">
        <f t="shared" si="1"/>
        <v>0</v>
      </c>
      <c r="L31" s="244">
        <f t="shared" si="1"/>
        <v>0</v>
      </c>
      <c r="M31" s="244">
        <f t="shared" si="1"/>
        <v>0</v>
      </c>
      <c r="N31" s="244">
        <f t="shared" si="1"/>
        <v>0</v>
      </c>
      <c r="O31" s="244">
        <f t="shared" si="1"/>
        <v>0</v>
      </c>
      <c r="P31" s="244">
        <f t="shared" si="1"/>
        <v>0</v>
      </c>
      <c r="Q31" s="244">
        <f t="shared" si="1"/>
        <v>0</v>
      </c>
      <c r="R31" s="244">
        <f t="shared" si="1"/>
        <v>0</v>
      </c>
      <c r="S31" s="244">
        <f t="shared" si="1"/>
        <v>0</v>
      </c>
      <c r="T31" s="244">
        <f t="shared" si="1"/>
        <v>0</v>
      </c>
      <c r="U31" s="244">
        <f t="shared" si="1"/>
        <v>0</v>
      </c>
      <c r="V31" s="244">
        <f t="shared" si="1"/>
        <v>0</v>
      </c>
      <c r="W31" s="244">
        <f t="shared" si="1"/>
        <v>0</v>
      </c>
      <c r="X31" s="245">
        <f t="shared" si="1"/>
        <v>0</v>
      </c>
      <c r="Y31" s="246"/>
    </row>
    <row r="32" spans="2:25" s="100" customFormat="1" x14ac:dyDescent="0.2">
      <c r="B32" s="31"/>
      <c r="C32" s="31"/>
      <c r="D32" s="33"/>
      <c r="E32" s="247"/>
      <c r="F32" s="247"/>
      <c r="G32" s="247"/>
      <c r="H32" s="247"/>
      <c r="I32" s="247"/>
      <c r="J32" s="247"/>
      <c r="K32" s="247"/>
      <c r="L32" s="247"/>
      <c r="M32" s="247"/>
      <c r="N32" s="247"/>
      <c r="O32" s="247"/>
      <c r="P32" s="247"/>
      <c r="Q32" s="247"/>
      <c r="R32" s="247"/>
      <c r="S32" s="247"/>
      <c r="T32" s="247"/>
      <c r="U32" s="247"/>
      <c r="V32" s="247"/>
      <c r="W32" s="247"/>
      <c r="X32" s="247"/>
      <c r="Y32" s="246"/>
    </row>
    <row r="33" spans="2:25" s="100" customFormat="1" ht="13.5" thickBot="1" x14ac:dyDescent="0.25">
      <c r="B33" s="1" t="s">
        <v>273</v>
      </c>
      <c r="C33" s="2"/>
      <c r="D33" s="3"/>
      <c r="E33" s="248"/>
      <c r="F33" s="248"/>
      <c r="G33" s="248"/>
      <c r="H33" s="248"/>
      <c r="I33" s="248"/>
      <c r="J33" s="248"/>
      <c r="K33" s="248"/>
      <c r="L33" s="248"/>
      <c r="M33" s="248"/>
      <c r="N33" s="248"/>
      <c r="O33" s="248"/>
      <c r="P33" s="248"/>
      <c r="Q33" s="248"/>
      <c r="R33" s="248"/>
      <c r="S33" s="248"/>
      <c r="T33" s="248"/>
      <c r="U33" s="248"/>
      <c r="V33" s="248"/>
      <c r="W33" s="248"/>
      <c r="X33" s="248"/>
      <c r="Y33" s="246"/>
    </row>
    <row r="34" spans="2:25" s="100" customFormat="1" x14ac:dyDescent="0.2">
      <c r="B34" s="489" t="s">
        <v>375</v>
      </c>
      <c r="C34" s="249"/>
      <c r="D34" s="92"/>
      <c r="E34" s="250"/>
      <c r="F34" s="250"/>
      <c r="G34" s="250"/>
      <c r="H34" s="250"/>
      <c r="I34" s="250"/>
      <c r="J34" s="250"/>
      <c r="K34" s="250"/>
      <c r="L34" s="250"/>
      <c r="M34" s="250"/>
      <c r="N34" s="250"/>
      <c r="O34" s="250"/>
      <c r="P34" s="250"/>
      <c r="Q34" s="250"/>
      <c r="R34" s="250"/>
      <c r="S34" s="250"/>
      <c r="T34" s="250"/>
      <c r="U34" s="250"/>
      <c r="V34" s="250"/>
      <c r="W34" s="250"/>
      <c r="X34" s="251"/>
      <c r="Y34" s="246"/>
    </row>
    <row r="35" spans="2:25" s="100" customFormat="1" x14ac:dyDescent="0.2">
      <c r="B35" s="490"/>
      <c r="C35" s="252" t="s">
        <v>147</v>
      </c>
      <c r="D35" s="252" t="s">
        <v>15</v>
      </c>
      <c r="E35" s="299">
        <v>40</v>
      </c>
      <c r="F35" s="299">
        <v>40</v>
      </c>
      <c r="G35" s="299">
        <v>40</v>
      </c>
      <c r="H35" s="299">
        <v>40</v>
      </c>
      <c r="I35" s="299">
        <v>40</v>
      </c>
      <c r="J35" s="299"/>
      <c r="K35" s="299"/>
      <c r="L35" s="299"/>
      <c r="M35" s="299"/>
      <c r="N35" s="299"/>
      <c r="O35" s="299"/>
      <c r="P35" s="299"/>
      <c r="Q35" s="299"/>
      <c r="R35" s="299"/>
      <c r="S35" s="299"/>
      <c r="T35" s="299"/>
      <c r="U35" s="299"/>
      <c r="V35" s="299"/>
      <c r="W35" s="299"/>
      <c r="X35" s="300"/>
      <c r="Y35" s="246"/>
    </row>
    <row r="36" spans="2:25" s="100" customFormat="1" x14ac:dyDescent="0.2">
      <c r="B36" s="490"/>
      <c r="C36" s="253" t="s">
        <v>383</v>
      </c>
      <c r="D36" s="253" t="s">
        <v>15</v>
      </c>
      <c r="E36" s="254">
        <f t="shared" ref="E36:X36" si="2">IF(E35&gt;0,100-E35,"")</f>
        <v>60</v>
      </c>
      <c r="F36" s="254">
        <f t="shared" si="2"/>
        <v>60</v>
      </c>
      <c r="G36" s="254">
        <f t="shared" si="2"/>
        <v>60</v>
      </c>
      <c r="H36" s="254">
        <f t="shared" si="2"/>
        <v>60</v>
      </c>
      <c r="I36" s="254">
        <f t="shared" si="2"/>
        <v>60</v>
      </c>
      <c r="J36" s="254" t="str">
        <f t="shared" si="2"/>
        <v/>
      </c>
      <c r="K36" s="254" t="str">
        <f t="shared" si="2"/>
        <v/>
      </c>
      <c r="L36" s="254" t="str">
        <f t="shared" si="2"/>
        <v/>
      </c>
      <c r="M36" s="254" t="str">
        <f t="shared" si="2"/>
        <v/>
      </c>
      <c r="N36" s="254" t="str">
        <f t="shared" si="2"/>
        <v/>
      </c>
      <c r="O36" s="254" t="str">
        <f t="shared" si="2"/>
        <v/>
      </c>
      <c r="P36" s="254" t="str">
        <f t="shared" si="2"/>
        <v/>
      </c>
      <c r="Q36" s="254" t="str">
        <f t="shared" si="2"/>
        <v/>
      </c>
      <c r="R36" s="254" t="str">
        <f t="shared" si="2"/>
        <v/>
      </c>
      <c r="S36" s="254" t="str">
        <f t="shared" si="2"/>
        <v/>
      </c>
      <c r="T36" s="254" t="str">
        <f t="shared" si="2"/>
        <v/>
      </c>
      <c r="U36" s="254" t="str">
        <f t="shared" si="2"/>
        <v/>
      </c>
      <c r="V36" s="254" t="str">
        <f t="shared" si="2"/>
        <v/>
      </c>
      <c r="W36" s="254" t="str">
        <f t="shared" si="2"/>
        <v/>
      </c>
      <c r="X36" s="255" t="str">
        <f t="shared" si="2"/>
        <v/>
      </c>
      <c r="Y36" s="246"/>
    </row>
    <row r="37" spans="2:25" s="100" customFormat="1" ht="13.5" thickBot="1" x14ac:dyDescent="0.25">
      <c r="B37" s="491"/>
      <c r="C37" s="97"/>
      <c r="D37" s="97"/>
      <c r="E37" s="256"/>
      <c r="F37" s="256"/>
      <c r="G37" s="256"/>
      <c r="H37" s="256"/>
      <c r="I37" s="256"/>
      <c r="J37" s="256"/>
      <c r="K37" s="256"/>
      <c r="L37" s="256"/>
      <c r="M37" s="256"/>
      <c r="N37" s="256"/>
      <c r="O37" s="256"/>
      <c r="P37" s="256"/>
      <c r="Q37" s="256"/>
      <c r="R37" s="256"/>
      <c r="S37" s="256"/>
      <c r="T37" s="256"/>
      <c r="U37" s="256"/>
      <c r="V37" s="256"/>
      <c r="W37" s="256"/>
      <c r="X37" s="257"/>
      <c r="Y37" s="246"/>
    </row>
    <row r="38" spans="2:25" s="100" customFormat="1" x14ac:dyDescent="0.2">
      <c r="B38" s="2"/>
      <c r="C38" s="2"/>
      <c r="D38" s="3"/>
      <c r="E38" s="258"/>
      <c r="F38" s="258"/>
      <c r="G38" s="258"/>
      <c r="H38" s="258"/>
      <c r="I38" s="258"/>
      <c r="J38" s="258"/>
      <c r="K38" s="258"/>
      <c r="L38" s="258"/>
      <c r="M38" s="258"/>
      <c r="N38" s="258"/>
      <c r="O38" s="258"/>
      <c r="P38" s="258"/>
      <c r="Q38" s="258"/>
      <c r="R38" s="258"/>
      <c r="S38" s="258"/>
      <c r="T38" s="258"/>
      <c r="U38" s="258"/>
      <c r="V38" s="258"/>
      <c r="W38" s="258"/>
      <c r="X38" s="258"/>
      <c r="Y38" s="246"/>
    </row>
    <row r="39" spans="2:25" s="100" customFormat="1" ht="13.5" thickBot="1" x14ac:dyDescent="0.25">
      <c r="B39" s="1" t="s">
        <v>274</v>
      </c>
      <c r="C39" s="2"/>
      <c r="D39" s="3"/>
      <c r="E39" s="3"/>
      <c r="F39" s="3"/>
      <c r="G39" s="3"/>
      <c r="H39" s="259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246"/>
    </row>
    <row r="40" spans="2:25" s="100" customFormat="1" x14ac:dyDescent="0.2">
      <c r="B40" s="228" t="s">
        <v>149</v>
      </c>
      <c r="C40" s="229"/>
      <c r="D40" s="105"/>
      <c r="E40" s="260" t="str">
        <f t="shared" ref="E40:X40" si="3">IF(E4="","",E4)</f>
        <v>S1B</v>
      </c>
      <c r="F40" s="261" t="str">
        <f t="shared" si="3"/>
        <v>S5</v>
      </c>
      <c r="G40" s="261" t="str">
        <f t="shared" si="3"/>
        <v>R63</v>
      </c>
      <c r="H40" s="261" t="str">
        <f t="shared" si="3"/>
        <v>NEX</v>
      </c>
      <c r="I40" s="261" t="str">
        <f t="shared" si="3"/>
        <v>PN</v>
      </c>
      <c r="J40" s="261" t="str">
        <f t="shared" si="3"/>
        <v/>
      </c>
      <c r="K40" s="261" t="str">
        <f t="shared" si="3"/>
        <v/>
      </c>
      <c r="L40" s="261" t="str">
        <f t="shared" si="3"/>
        <v/>
      </c>
      <c r="M40" s="261" t="str">
        <f t="shared" si="3"/>
        <v/>
      </c>
      <c r="N40" s="261" t="str">
        <f t="shared" si="3"/>
        <v/>
      </c>
      <c r="O40" s="261" t="str">
        <f t="shared" si="3"/>
        <v/>
      </c>
      <c r="P40" s="261" t="str">
        <f t="shared" si="3"/>
        <v/>
      </c>
      <c r="Q40" s="261" t="str">
        <f t="shared" si="3"/>
        <v/>
      </c>
      <c r="R40" s="261" t="str">
        <f t="shared" si="3"/>
        <v/>
      </c>
      <c r="S40" s="261" t="str">
        <f t="shared" si="3"/>
        <v/>
      </c>
      <c r="T40" s="261" t="str">
        <f t="shared" si="3"/>
        <v/>
      </c>
      <c r="U40" s="261" t="str">
        <f t="shared" si="3"/>
        <v/>
      </c>
      <c r="V40" s="261" t="str">
        <f t="shared" si="3"/>
        <v/>
      </c>
      <c r="W40" s="261" t="str">
        <f t="shared" si="3"/>
        <v/>
      </c>
      <c r="X40" s="262" t="str">
        <f t="shared" si="3"/>
        <v/>
      </c>
      <c r="Y40" s="246"/>
    </row>
    <row r="41" spans="2:25" s="100" customFormat="1" x14ac:dyDescent="0.2">
      <c r="B41" s="263" t="s">
        <v>150</v>
      </c>
      <c r="C41" s="79"/>
      <c r="D41" s="80" t="s">
        <v>61</v>
      </c>
      <c r="E41" s="264">
        <f>IF(E31&gt;0,E31/8760*1000000,"-")</f>
        <v>924.65753424657532</v>
      </c>
      <c r="F41" s="264">
        <f t="shared" ref="F41:X41" si="4">IF(F31&gt;0,F31/8760*1000000,"-")</f>
        <v>924.65753424657532</v>
      </c>
      <c r="G41" s="264">
        <f t="shared" si="4"/>
        <v>924.65753424657532</v>
      </c>
      <c r="H41" s="264">
        <f t="shared" si="4"/>
        <v>1803.6529680365297</v>
      </c>
      <c r="I41" s="264">
        <f t="shared" si="4"/>
        <v>1565.8295281582953</v>
      </c>
      <c r="J41" s="264" t="str">
        <f t="shared" si="4"/>
        <v>-</v>
      </c>
      <c r="K41" s="264" t="str">
        <f t="shared" si="4"/>
        <v>-</v>
      </c>
      <c r="L41" s="264" t="str">
        <f t="shared" si="4"/>
        <v>-</v>
      </c>
      <c r="M41" s="264" t="str">
        <f t="shared" si="4"/>
        <v>-</v>
      </c>
      <c r="N41" s="264" t="str">
        <f t="shared" si="4"/>
        <v>-</v>
      </c>
      <c r="O41" s="264" t="str">
        <f t="shared" si="4"/>
        <v>-</v>
      </c>
      <c r="P41" s="264" t="str">
        <f t="shared" si="4"/>
        <v>-</v>
      </c>
      <c r="Q41" s="264" t="str">
        <f t="shared" si="4"/>
        <v>-</v>
      </c>
      <c r="R41" s="264" t="str">
        <f t="shared" si="4"/>
        <v>-</v>
      </c>
      <c r="S41" s="264" t="str">
        <f t="shared" si="4"/>
        <v>-</v>
      </c>
      <c r="T41" s="264" t="str">
        <f t="shared" si="4"/>
        <v>-</v>
      </c>
      <c r="U41" s="264" t="str">
        <f t="shared" si="4"/>
        <v>-</v>
      </c>
      <c r="V41" s="264" t="str">
        <f t="shared" si="4"/>
        <v>-</v>
      </c>
      <c r="W41" s="264" t="str">
        <f t="shared" si="4"/>
        <v>-</v>
      </c>
      <c r="X41" s="265" t="str">
        <f t="shared" si="4"/>
        <v>-</v>
      </c>
      <c r="Y41" s="246"/>
    </row>
    <row r="42" spans="2:25" s="100" customFormat="1" ht="13.5" thickBot="1" x14ac:dyDescent="0.25">
      <c r="B42" s="266" t="s">
        <v>385</v>
      </c>
      <c r="C42" s="27"/>
      <c r="D42" s="28" t="s">
        <v>61</v>
      </c>
      <c r="E42" s="267">
        <f>IF(E30&gt;0,E30/30/8760*1000000,"-")</f>
        <v>1027.3972602739725</v>
      </c>
      <c r="F42" s="267">
        <f t="shared" ref="F42:X42" si="5">IF(F30&gt;0,F30/30/8760*1000000,"-")</f>
        <v>1027.3972602739725</v>
      </c>
      <c r="G42" s="267">
        <f t="shared" si="5"/>
        <v>1027.3972602739725</v>
      </c>
      <c r="H42" s="267">
        <f t="shared" si="5"/>
        <v>3272.4505327245056</v>
      </c>
      <c r="I42" s="267">
        <f t="shared" si="5"/>
        <v>2796.8036529680367</v>
      </c>
      <c r="J42" s="267" t="str">
        <f t="shared" si="5"/>
        <v>-</v>
      </c>
      <c r="K42" s="267" t="str">
        <f t="shared" si="5"/>
        <v>-</v>
      </c>
      <c r="L42" s="267" t="str">
        <f t="shared" si="5"/>
        <v>-</v>
      </c>
      <c r="M42" s="267" t="str">
        <f t="shared" si="5"/>
        <v>-</v>
      </c>
      <c r="N42" s="267" t="str">
        <f t="shared" si="5"/>
        <v>-</v>
      </c>
      <c r="O42" s="267" t="str">
        <f t="shared" si="5"/>
        <v>-</v>
      </c>
      <c r="P42" s="267" t="str">
        <f t="shared" si="5"/>
        <v>-</v>
      </c>
      <c r="Q42" s="267" t="str">
        <f t="shared" si="5"/>
        <v>-</v>
      </c>
      <c r="R42" s="267" t="str">
        <f t="shared" si="5"/>
        <v>-</v>
      </c>
      <c r="S42" s="267" t="str">
        <f t="shared" si="5"/>
        <v>-</v>
      </c>
      <c r="T42" s="267" t="str">
        <f t="shared" si="5"/>
        <v>-</v>
      </c>
      <c r="U42" s="267" t="str">
        <f t="shared" si="5"/>
        <v>-</v>
      </c>
      <c r="V42" s="267" t="str">
        <f t="shared" si="5"/>
        <v>-</v>
      </c>
      <c r="W42" s="267" t="str">
        <f t="shared" si="5"/>
        <v>-</v>
      </c>
      <c r="X42" s="268" t="str">
        <f t="shared" si="5"/>
        <v>-</v>
      </c>
      <c r="Y42" s="246"/>
    </row>
    <row r="43" spans="2:25" s="100" customFormat="1" x14ac:dyDescent="0.2">
      <c r="B43" s="31"/>
      <c r="C43" s="31"/>
      <c r="D43" s="33"/>
      <c r="E43" s="247"/>
      <c r="F43" s="247"/>
      <c r="G43" s="247"/>
      <c r="H43" s="247"/>
      <c r="I43" s="247"/>
      <c r="J43" s="247"/>
      <c r="K43" s="247"/>
      <c r="L43" s="247"/>
      <c r="M43" s="247"/>
      <c r="N43" s="247"/>
      <c r="O43" s="247"/>
      <c r="P43" s="247"/>
      <c r="Q43" s="247"/>
      <c r="R43" s="247"/>
      <c r="S43" s="247"/>
      <c r="T43" s="247"/>
      <c r="U43" s="247"/>
      <c r="V43" s="247"/>
      <c r="W43" s="247"/>
      <c r="X43" s="247"/>
      <c r="Y43" s="246"/>
    </row>
    <row r="44" spans="2:25" s="100" customFormat="1" ht="13.5" thickBot="1" x14ac:dyDescent="0.25">
      <c r="B44" s="1" t="s">
        <v>275</v>
      </c>
      <c r="C44" s="2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246"/>
    </row>
    <row r="45" spans="2:25" s="100" customFormat="1" x14ac:dyDescent="0.2">
      <c r="B45" s="228" t="s">
        <v>151</v>
      </c>
      <c r="C45" s="229"/>
      <c r="D45" s="105"/>
      <c r="E45" s="260" t="str">
        <f t="shared" ref="E45:X45" si="6">IF(E4="","",E4)</f>
        <v>S1B</v>
      </c>
      <c r="F45" s="261" t="str">
        <f t="shared" si="6"/>
        <v>S5</v>
      </c>
      <c r="G45" s="261" t="str">
        <f t="shared" si="6"/>
        <v>R63</v>
      </c>
      <c r="H45" s="261" t="str">
        <f t="shared" si="6"/>
        <v>NEX</v>
      </c>
      <c r="I45" s="261" t="str">
        <f t="shared" si="6"/>
        <v>PN</v>
      </c>
      <c r="J45" s="261" t="str">
        <f t="shared" si="6"/>
        <v/>
      </c>
      <c r="K45" s="261" t="str">
        <f t="shared" si="6"/>
        <v/>
      </c>
      <c r="L45" s="261" t="str">
        <f t="shared" si="6"/>
        <v/>
      </c>
      <c r="M45" s="261" t="str">
        <f t="shared" si="6"/>
        <v/>
      </c>
      <c r="N45" s="261" t="str">
        <f t="shared" si="6"/>
        <v/>
      </c>
      <c r="O45" s="261" t="str">
        <f t="shared" si="6"/>
        <v/>
      </c>
      <c r="P45" s="261" t="str">
        <f t="shared" si="6"/>
        <v/>
      </c>
      <c r="Q45" s="261" t="str">
        <f t="shared" si="6"/>
        <v/>
      </c>
      <c r="R45" s="261" t="str">
        <f t="shared" si="6"/>
        <v/>
      </c>
      <c r="S45" s="261" t="str">
        <f t="shared" si="6"/>
        <v/>
      </c>
      <c r="T45" s="261" t="str">
        <f t="shared" si="6"/>
        <v/>
      </c>
      <c r="U45" s="261" t="str">
        <f t="shared" si="6"/>
        <v/>
      </c>
      <c r="V45" s="261" t="str">
        <f t="shared" si="6"/>
        <v/>
      </c>
      <c r="W45" s="261" t="str">
        <f t="shared" si="6"/>
        <v/>
      </c>
      <c r="X45" s="262" t="str">
        <f t="shared" si="6"/>
        <v/>
      </c>
      <c r="Y45" s="246"/>
    </row>
    <row r="46" spans="2:25" s="100" customFormat="1" x14ac:dyDescent="0.2">
      <c r="B46" s="263" t="s">
        <v>150</v>
      </c>
      <c r="C46" s="79"/>
      <c r="D46" s="80" t="s">
        <v>152</v>
      </c>
      <c r="E46" s="269">
        <f>IF((E35&gt;0),E41/E$35*SUM(E34:E37),"-")</f>
        <v>2311.6438356164385</v>
      </c>
      <c r="F46" s="269">
        <f t="shared" ref="F46:X46" si="7">IF((F35&gt;0),F41/F$35*SUM(F34:F37),"-")</f>
        <v>2311.6438356164385</v>
      </c>
      <c r="G46" s="269">
        <f t="shared" si="7"/>
        <v>2311.6438356164385</v>
      </c>
      <c r="H46" s="269">
        <f t="shared" si="7"/>
        <v>4509.1324200913241</v>
      </c>
      <c r="I46" s="269">
        <f t="shared" si="7"/>
        <v>3914.573820395738</v>
      </c>
      <c r="J46" s="269" t="str">
        <f t="shared" si="7"/>
        <v>-</v>
      </c>
      <c r="K46" s="269" t="str">
        <f t="shared" si="7"/>
        <v>-</v>
      </c>
      <c r="L46" s="269" t="str">
        <f t="shared" si="7"/>
        <v>-</v>
      </c>
      <c r="M46" s="269" t="str">
        <f t="shared" si="7"/>
        <v>-</v>
      </c>
      <c r="N46" s="269" t="str">
        <f t="shared" si="7"/>
        <v>-</v>
      </c>
      <c r="O46" s="269" t="str">
        <f t="shared" si="7"/>
        <v>-</v>
      </c>
      <c r="P46" s="269" t="str">
        <f t="shared" si="7"/>
        <v>-</v>
      </c>
      <c r="Q46" s="269" t="str">
        <f t="shared" si="7"/>
        <v>-</v>
      </c>
      <c r="R46" s="269" t="str">
        <f t="shared" si="7"/>
        <v>-</v>
      </c>
      <c r="S46" s="269" t="str">
        <f t="shared" si="7"/>
        <v>-</v>
      </c>
      <c r="T46" s="269" t="str">
        <f t="shared" si="7"/>
        <v>-</v>
      </c>
      <c r="U46" s="269" t="str">
        <f t="shared" si="7"/>
        <v>-</v>
      </c>
      <c r="V46" s="269" t="str">
        <f t="shared" si="7"/>
        <v>-</v>
      </c>
      <c r="W46" s="269" t="str">
        <f t="shared" si="7"/>
        <v>-</v>
      </c>
      <c r="X46" s="270" t="str">
        <f t="shared" si="7"/>
        <v>-</v>
      </c>
      <c r="Y46" s="246"/>
    </row>
    <row r="47" spans="2:25" s="100" customFormat="1" ht="13.5" thickBot="1" x14ac:dyDescent="0.25">
      <c r="B47" s="266" t="s">
        <v>385</v>
      </c>
      <c r="C47" s="27"/>
      <c r="D47" s="28" t="s">
        <v>152</v>
      </c>
      <c r="E47" s="271">
        <f>IF(E35&gt;0,E42/E$35*SUM(E34:E37),"-")</f>
        <v>2568.4931506849312</v>
      </c>
      <c r="F47" s="271">
        <f t="shared" ref="F47:X47" si="8">IF(F35&gt;0,F42/F$35*SUM(F34:F37),"-")</f>
        <v>2568.4931506849312</v>
      </c>
      <c r="G47" s="271">
        <f t="shared" si="8"/>
        <v>2568.4931506849312</v>
      </c>
      <c r="H47" s="271">
        <f t="shared" si="8"/>
        <v>8181.1263318112633</v>
      </c>
      <c r="I47" s="271">
        <f t="shared" si="8"/>
        <v>6992.0091324200912</v>
      </c>
      <c r="J47" s="271" t="str">
        <f t="shared" si="8"/>
        <v>-</v>
      </c>
      <c r="K47" s="271" t="str">
        <f t="shared" si="8"/>
        <v>-</v>
      </c>
      <c r="L47" s="271" t="str">
        <f t="shared" si="8"/>
        <v>-</v>
      </c>
      <c r="M47" s="271" t="str">
        <f t="shared" si="8"/>
        <v>-</v>
      </c>
      <c r="N47" s="271" t="str">
        <f t="shared" si="8"/>
        <v>-</v>
      </c>
      <c r="O47" s="271" t="str">
        <f t="shared" si="8"/>
        <v>-</v>
      </c>
      <c r="P47" s="271" t="str">
        <f t="shared" si="8"/>
        <v>-</v>
      </c>
      <c r="Q47" s="271" t="str">
        <f t="shared" si="8"/>
        <v>-</v>
      </c>
      <c r="R47" s="271" t="str">
        <f t="shared" si="8"/>
        <v>-</v>
      </c>
      <c r="S47" s="271" t="str">
        <f t="shared" si="8"/>
        <v>-</v>
      </c>
      <c r="T47" s="271" t="str">
        <f t="shared" si="8"/>
        <v>-</v>
      </c>
      <c r="U47" s="271" t="str">
        <f t="shared" si="8"/>
        <v>-</v>
      </c>
      <c r="V47" s="271" t="str">
        <f t="shared" si="8"/>
        <v>-</v>
      </c>
      <c r="W47" s="271" t="str">
        <f t="shared" si="8"/>
        <v>-</v>
      </c>
      <c r="X47" s="272" t="str">
        <f t="shared" si="8"/>
        <v>-</v>
      </c>
      <c r="Y47" s="246"/>
    </row>
    <row r="48" spans="2:25" x14ac:dyDescent="0.2">
      <c r="B48" s="31"/>
      <c r="C48" s="273"/>
      <c r="D48" s="33"/>
      <c r="E48" s="247"/>
      <c r="F48" s="247"/>
      <c r="G48" s="247"/>
      <c r="H48" s="247"/>
      <c r="I48" s="247"/>
      <c r="J48" s="247"/>
      <c r="K48" s="247"/>
      <c r="L48" s="247"/>
      <c r="M48" s="247"/>
      <c r="N48" s="247"/>
      <c r="O48" s="247"/>
      <c r="P48" s="247"/>
      <c r="Q48" s="247"/>
      <c r="R48" s="247"/>
      <c r="S48" s="247"/>
      <c r="T48" s="247"/>
      <c r="U48" s="247"/>
      <c r="V48" s="247"/>
      <c r="W48" s="247"/>
      <c r="X48" s="247"/>
    </row>
    <row r="49" spans="2:25" ht="13.5" hidden="1" thickBot="1" x14ac:dyDescent="0.25">
      <c r="B49" s="1" t="s">
        <v>276</v>
      </c>
      <c r="C49" s="31"/>
      <c r="D49" s="65"/>
      <c r="E49" s="274"/>
      <c r="F49" s="274"/>
      <c r="G49" s="274"/>
      <c r="H49" s="274"/>
      <c r="I49" s="274"/>
      <c r="J49" s="274"/>
      <c r="K49" s="274"/>
      <c r="L49" s="274"/>
      <c r="M49" s="274"/>
      <c r="N49" s="274"/>
      <c r="O49" s="274"/>
      <c r="P49" s="274"/>
      <c r="Q49" s="274"/>
      <c r="R49" s="274"/>
      <c r="S49" s="274"/>
      <c r="T49" s="274"/>
      <c r="U49" s="274"/>
      <c r="V49" s="274"/>
      <c r="W49" s="274"/>
      <c r="X49" s="274"/>
      <c r="Y49" s="100"/>
    </row>
    <row r="50" spans="2:25" s="280" customFormat="1" hidden="1" x14ac:dyDescent="0.2">
      <c r="B50" s="275"/>
      <c r="C50" s="276"/>
      <c r="D50" s="277" t="s">
        <v>98</v>
      </c>
      <c r="E50" s="278" t="str">
        <f>IF(E4="","",E4)</f>
        <v>S1B</v>
      </c>
      <c r="F50" s="278" t="str">
        <f t="shared" ref="F50:X50" si="9">IF(F4="","",F4)</f>
        <v>S5</v>
      </c>
      <c r="G50" s="278" t="str">
        <f t="shared" si="9"/>
        <v>R63</v>
      </c>
      <c r="H50" s="278" t="str">
        <f t="shared" si="9"/>
        <v>NEX</v>
      </c>
      <c r="I50" s="278" t="str">
        <f t="shared" si="9"/>
        <v>PN</v>
      </c>
      <c r="J50" s="278" t="str">
        <f t="shared" si="9"/>
        <v/>
      </c>
      <c r="K50" s="278" t="str">
        <f t="shared" si="9"/>
        <v/>
      </c>
      <c r="L50" s="278" t="str">
        <f t="shared" si="9"/>
        <v/>
      </c>
      <c r="M50" s="278" t="str">
        <f t="shared" si="9"/>
        <v/>
      </c>
      <c r="N50" s="278" t="str">
        <f t="shared" si="9"/>
        <v/>
      </c>
      <c r="O50" s="278" t="str">
        <f t="shared" si="9"/>
        <v/>
      </c>
      <c r="P50" s="278" t="str">
        <f t="shared" si="9"/>
        <v/>
      </c>
      <c r="Q50" s="278" t="str">
        <f t="shared" si="9"/>
        <v/>
      </c>
      <c r="R50" s="278" t="str">
        <f t="shared" si="9"/>
        <v/>
      </c>
      <c r="S50" s="278" t="str">
        <f t="shared" si="9"/>
        <v/>
      </c>
      <c r="T50" s="278" t="str">
        <f t="shared" si="9"/>
        <v/>
      </c>
      <c r="U50" s="278" t="str">
        <f t="shared" si="9"/>
        <v/>
      </c>
      <c r="V50" s="278" t="str">
        <f t="shared" si="9"/>
        <v/>
      </c>
      <c r="W50" s="278" t="str">
        <f t="shared" si="9"/>
        <v/>
      </c>
      <c r="X50" s="279" t="str">
        <f t="shared" si="9"/>
        <v/>
      </c>
    </row>
    <row r="51" spans="2:25" hidden="1" x14ac:dyDescent="0.2">
      <c r="B51" s="486" t="s">
        <v>148</v>
      </c>
      <c r="C51" s="281" t="s">
        <v>62</v>
      </c>
      <c r="D51" s="282">
        <f t="shared" ref="D51:D80" si="10">SUM(E51:X51)</f>
        <v>214.15</v>
      </c>
      <c r="E51" s="254">
        <f t="shared" ref="E51:X51" si="11">IF(E$8&gt;=1,E$7*E$6/E$8,0)+IF(E$13&gt;=1,E$12*E$11/E$13,0)+IF(E$18&gt;=1,E$17*E$16/E$18,0)+IF(E$23&gt;=1,E$22*E$21/E$23,0)+IF(E$28&gt;=1,E$27*E$26/E$28,0)+E$31</f>
        <v>26.1</v>
      </c>
      <c r="F51" s="254">
        <f t="shared" si="11"/>
        <v>26.1</v>
      </c>
      <c r="G51" s="254">
        <f t="shared" si="11"/>
        <v>26.1</v>
      </c>
      <c r="H51" s="254">
        <f t="shared" si="11"/>
        <v>73.13333333333334</v>
      </c>
      <c r="I51" s="254">
        <f t="shared" si="11"/>
        <v>62.716666666666669</v>
      </c>
      <c r="J51" s="254">
        <f t="shared" si="11"/>
        <v>0</v>
      </c>
      <c r="K51" s="254">
        <f t="shared" si="11"/>
        <v>0</v>
      </c>
      <c r="L51" s="254">
        <f t="shared" si="11"/>
        <v>0</v>
      </c>
      <c r="M51" s="254">
        <f t="shared" si="11"/>
        <v>0</v>
      </c>
      <c r="N51" s="254">
        <f t="shared" si="11"/>
        <v>0</v>
      </c>
      <c r="O51" s="254">
        <f t="shared" si="11"/>
        <v>0</v>
      </c>
      <c r="P51" s="254">
        <f t="shared" si="11"/>
        <v>0</v>
      </c>
      <c r="Q51" s="254">
        <f t="shared" si="11"/>
        <v>0</v>
      </c>
      <c r="R51" s="254">
        <f t="shared" si="11"/>
        <v>0</v>
      </c>
      <c r="S51" s="254">
        <f t="shared" si="11"/>
        <v>0</v>
      </c>
      <c r="T51" s="254">
        <f t="shared" si="11"/>
        <v>0</v>
      </c>
      <c r="U51" s="254">
        <f t="shared" si="11"/>
        <v>0</v>
      </c>
      <c r="V51" s="254">
        <f t="shared" si="11"/>
        <v>0</v>
      </c>
      <c r="W51" s="254">
        <f t="shared" si="11"/>
        <v>0</v>
      </c>
      <c r="X51" s="255">
        <f t="shared" si="11"/>
        <v>0</v>
      </c>
    </row>
    <row r="52" spans="2:25" hidden="1" x14ac:dyDescent="0.2">
      <c r="B52" s="487"/>
      <c r="C52" s="281" t="s">
        <v>63</v>
      </c>
      <c r="D52" s="282">
        <f t="shared" si="10"/>
        <v>214.15</v>
      </c>
      <c r="E52" s="254">
        <f t="shared" ref="E52:X52" si="12">IF(E$8&gt;=2,E$7*E$6/E$8,0)+IF(E$13&gt;=2,E$12*E$11/E$13,0)+IF(E$18&gt;=2,E$17*E$16/E$18,0)+IF(E$23&gt;=2,E$22*E$21/E$23,0)+IF(E$28&gt;=2,E$27*E$26/E$28,0)+E$31</f>
        <v>26.1</v>
      </c>
      <c r="F52" s="254">
        <f t="shared" si="12"/>
        <v>26.1</v>
      </c>
      <c r="G52" s="254">
        <f t="shared" si="12"/>
        <v>26.1</v>
      </c>
      <c r="H52" s="254">
        <f t="shared" si="12"/>
        <v>73.13333333333334</v>
      </c>
      <c r="I52" s="254">
        <f t="shared" si="12"/>
        <v>62.716666666666669</v>
      </c>
      <c r="J52" s="254">
        <f t="shared" si="12"/>
        <v>0</v>
      </c>
      <c r="K52" s="254">
        <f t="shared" si="12"/>
        <v>0</v>
      </c>
      <c r="L52" s="254">
        <f t="shared" si="12"/>
        <v>0</v>
      </c>
      <c r="M52" s="254">
        <f t="shared" si="12"/>
        <v>0</v>
      </c>
      <c r="N52" s="254">
        <f t="shared" si="12"/>
        <v>0</v>
      </c>
      <c r="O52" s="254">
        <f t="shared" si="12"/>
        <v>0</v>
      </c>
      <c r="P52" s="254">
        <f t="shared" si="12"/>
        <v>0</v>
      </c>
      <c r="Q52" s="254">
        <f t="shared" si="12"/>
        <v>0</v>
      </c>
      <c r="R52" s="254">
        <f t="shared" si="12"/>
        <v>0</v>
      </c>
      <c r="S52" s="254">
        <f t="shared" si="12"/>
        <v>0</v>
      </c>
      <c r="T52" s="254">
        <f t="shared" si="12"/>
        <v>0</v>
      </c>
      <c r="U52" s="254">
        <f t="shared" si="12"/>
        <v>0</v>
      </c>
      <c r="V52" s="254">
        <f t="shared" si="12"/>
        <v>0</v>
      </c>
      <c r="W52" s="254">
        <f t="shared" si="12"/>
        <v>0</v>
      </c>
      <c r="X52" s="255">
        <f t="shared" si="12"/>
        <v>0</v>
      </c>
    </row>
    <row r="53" spans="2:25" hidden="1" x14ac:dyDescent="0.2">
      <c r="B53" s="487"/>
      <c r="C53" s="281" t="s">
        <v>64</v>
      </c>
      <c r="D53" s="282">
        <f t="shared" si="10"/>
        <v>214.15</v>
      </c>
      <c r="E53" s="254">
        <f t="shared" ref="E53:X53" si="13">IF(E$8&gt;=3,E$7*E$6/E$8,0)+IF(E$13&gt;=3,E$12*E$11/E$13,0)+IF(E$18&gt;=3,E$17*E$16/E$18,0)+IF(E$23&gt;=3,E$22*E$21/E$23,0)+IF(E$28&gt;=3,E$27*E$26/E$28,0)+E$31</f>
        <v>26.1</v>
      </c>
      <c r="F53" s="254">
        <f t="shared" si="13"/>
        <v>26.1</v>
      </c>
      <c r="G53" s="254">
        <f t="shared" si="13"/>
        <v>26.1</v>
      </c>
      <c r="H53" s="254">
        <f t="shared" si="13"/>
        <v>73.13333333333334</v>
      </c>
      <c r="I53" s="254">
        <f t="shared" si="13"/>
        <v>62.716666666666669</v>
      </c>
      <c r="J53" s="254">
        <f t="shared" si="13"/>
        <v>0</v>
      </c>
      <c r="K53" s="254">
        <f t="shared" si="13"/>
        <v>0</v>
      </c>
      <c r="L53" s="254">
        <f t="shared" si="13"/>
        <v>0</v>
      </c>
      <c r="M53" s="254">
        <f t="shared" si="13"/>
        <v>0</v>
      </c>
      <c r="N53" s="254">
        <f t="shared" si="13"/>
        <v>0</v>
      </c>
      <c r="O53" s="254">
        <f t="shared" si="13"/>
        <v>0</v>
      </c>
      <c r="P53" s="254">
        <f t="shared" si="13"/>
        <v>0</v>
      </c>
      <c r="Q53" s="254">
        <f t="shared" si="13"/>
        <v>0</v>
      </c>
      <c r="R53" s="254">
        <f t="shared" si="13"/>
        <v>0</v>
      </c>
      <c r="S53" s="254">
        <f t="shared" si="13"/>
        <v>0</v>
      </c>
      <c r="T53" s="254">
        <f t="shared" si="13"/>
        <v>0</v>
      </c>
      <c r="U53" s="254">
        <f t="shared" si="13"/>
        <v>0</v>
      </c>
      <c r="V53" s="254">
        <f t="shared" si="13"/>
        <v>0</v>
      </c>
      <c r="W53" s="254">
        <f t="shared" si="13"/>
        <v>0</v>
      </c>
      <c r="X53" s="255">
        <f t="shared" si="13"/>
        <v>0</v>
      </c>
    </row>
    <row r="54" spans="2:25" hidden="1" x14ac:dyDescent="0.2">
      <c r="B54" s="487"/>
      <c r="C54" s="281" t="s">
        <v>65</v>
      </c>
      <c r="D54" s="282">
        <f t="shared" si="10"/>
        <v>214.15</v>
      </c>
      <c r="E54" s="254">
        <f t="shared" ref="E54:X54" si="14">IF(E$8&gt;=4,E$7*E$6/E$8,0)+IF(E$13&gt;=4,E$12*E$11/E$13,0)+IF(E$18&gt;=4,E$17*E$16/E$18,0)+IF(E$23&gt;=4,E$22*E$21/E$23,0)+IF(E$28&gt;=4,E$27*E$26/E$28,0)+E$31</f>
        <v>26.1</v>
      </c>
      <c r="F54" s="254">
        <f t="shared" si="14"/>
        <v>26.1</v>
      </c>
      <c r="G54" s="254">
        <f t="shared" si="14"/>
        <v>26.1</v>
      </c>
      <c r="H54" s="254">
        <f t="shared" si="14"/>
        <v>73.13333333333334</v>
      </c>
      <c r="I54" s="254">
        <f t="shared" si="14"/>
        <v>62.716666666666669</v>
      </c>
      <c r="J54" s="254">
        <f t="shared" si="14"/>
        <v>0</v>
      </c>
      <c r="K54" s="254">
        <f t="shared" si="14"/>
        <v>0</v>
      </c>
      <c r="L54" s="254">
        <f t="shared" si="14"/>
        <v>0</v>
      </c>
      <c r="M54" s="254">
        <f t="shared" si="14"/>
        <v>0</v>
      </c>
      <c r="N54" s="254">
        <f t="shared" si="14"/>
        <v>0</v>
      </c>
      <c r="O54" s="254">
        <f t="shared" si="14"/>
        <v>0</v>
      </c>
      <c r="P54" s="254">
        <f t="shared" si="14"/>
        <v>0</v>
      </c>
      <c r="Q54" s="254">
        <f t="shared" si="14"/>
        <v>0</v>
      </c>
      <c r="R54" s="254">
        <f t="shared" si="14"/>
        <v>0</v>
      </c>
      <c r="S54" s="254">
        <f t="shared" si="14"/>
        <v>0</v>
      </c>
      <c r="T54" s="254">
        <f t="shared" si="14"/>
        <v>0</v>
      </c>
      <c r="U54" s="254">
        <f t="shared" si="14"/>
        <v>0</v>
      </c>
      <c r="V54" s="254">
        <f t="shared" si="14"/>
        <v>0</v>
      </c>
      <c r="W54" s="254">
        <f t="shared" si="14"/>
        <v>0</v>
      </c>
      <c r="X54" s="255">
        <f t="shared" si="14"/>
        <v>0</v>
      </c>
    </row>
    <row r="55" spans="2:25" hidden="1" x14ac:dyDescent="0.2">
      <c r="B55" s="487"/>
      <c r="C55" s="281" t="s">
        <v>66</v>
      </c>
      <c r="D55" s="282">
        <f t="shared" si="10"/>
        <v>214.15</v>
      </c>
      <c r="E55" s="254">
        <f t="shared" ref="E55:X55" si="15">IF(E$8&gt;=5,E$7*E$6/E$8,0)+IF(E$13&gt;=5,E$12*E$11/E$13,0)+IF(E$18&gt;=5,E$17*E$16/E$18,0)+IF(E$23&gt;=5,E$22*E$21/E$23,0)+IF(E$28&gt;=5,E$27*E$26/E$28,0)+E$31</f>
        <v>26.1</v>
      </c>
      <c r="F55" s="254">
        <f t="shared" si="15"/>
        <v>26.1</v>
      </c>
      <c r="G55" s="254">
        <f t="shared" si="15"/>
        <v>26.1</v>
      </c>
      <c r="H55" s="254">
        <f t="shared" si="15"/>
        <v>73.13333333333334</v>
      </c>
      <c r="I55" s="254">
        <f t="shared" si="15"/>
        <v>62.716666666666669</v>
      </c>
      <c r="J55" s="254">
        <f t="shared" si="15"/>
        <v>0</v>
      </c>
      <c r="K55" s="254">
        <f t="shared" si="15"/>
        <v>0</v>
      </c>
      <c r="L55" s="254">
        <f t="shared" si="15"/>
        <v>0</v>
      </c>
      <c r="M55" s="254">
        <f t="shared" si="15"/>
        <v>0</v>
      </c>
      <c r="N55" s="254">
        <f t="shared" si="15"/>
        <v>0</v>
      </c>
      <c r="O55" s="254">
        <f t="shared" si="15"/>
        <v>0</v>
      </c>
      <c r="P55" s="254">
        <f t="shared" si="15"/>
        <v>0</v>
      </c>
      <c r="Q55" s="254">
        <f t="shared" si="15"/>
        <v>0</v>
      </c>
      <c r="R55" s="254">
        <f t="shared" si="15"/>
        <v>0</v>
      </c>
      <c r="S55" s="254">
        <f t="shared" si="15"/>
        <v>0</v>
      </c>
      <c r="T55" s="254">
        <f t="shared" si="15"/>
        <v>0</v>
      </c>
      <c r="U55" s="254">
        <f t="shared" si="15"/>
        <v>0</v>
      </c>
      <c r="V55" s="254">
        <f t="shared" si="15"/>
        <v>0</v>
      </c>
      <c r="W55" s="254">
        <f t="shared" si="15"/>
        <v>0</v>
      </c>
      <c r="X55" s="255">
        <f t="shared" si="15"/>
        <v>0</v>
      </c>
    </row>
    <row r="56" spans="2:25" hidden="1" x14ac:dyDescent="0.2">
      <c r="B56" s="487"/>
      <c r="C56" s="281" t="s">
        <v>67</v>
      </c>
      <c r="D56" s="282">
        <f t="shared" si="10"/>
        <v>214.15</v>
      </c>
      <c r="E56" s="254">
        <f t="shared" ref="E56:X56" si="16">IF(E$8&gt;=6,E$7*E$6/E$8,0)+IF(E$13&gt;=6,E$12*E$11/E$13,0)+IF(E$18&gt;=6,E$17*E$16/E$18,0)+IF(E$23&gt;=6,E$22*E$21/E$23,0)+IF(E$28&gt;=6,E$27*E$26/E$28,0)+E$31</f>
        <v>26.1</v>
      </c>
      <c r="F56" s="254">
        <f t="shared" si="16"/>
        <v>26.1</v>
      </c>
      <c r="G56" s="254">
        <f t="shared" si="16"/>
        <v>26.1</v>
      </c>
      <c r="H56" s="254">
        <f t="shared" si="16"/>
        <v>73.13333333333334</v>
      </c>
      <c r="I56" s="254">
        <f t="shared" si="16"/>
        <v>62.716666666666669</v>
      </c>
      <c r="J56" s="254">
        <f t="shared" si="16"/>
        <v>0</v>
      </c>
      <c r="K56" s="254">
        <f t="shared" si="16"/>
        <v>0</v>
      </c>
      <c r="L56" s="254">
        <f t="shared" si="16"/>
        <v>0</v>
      </c>
      <c r="M56" s="254">
        <f t="shared" si="16"/>
        <v>0</v>
      </c>
      <c r="N56" s="254">
        <f t="shared" si="16"/>
        <v>0</v>
      </c>
      <c r="O56" s="254">
        <f t="shared" si="16"/>
        <v>0</v>
      </c>
      <c r="P56" s="254">
        <f t="shared" si="16"/>
        <v>0</v>
      </c>
      <c r="Q56" s="254">
        <f t="shared" si="16"/>
        <v>0</v>
      </c>
      <c r="R56" s="254">
        <f t="shared" si="16"/>
        <v>0</v>
      </c>
      <c r="S56" s="254">
        <f t="shared" si="16"/>
        <v>0</v>
      </c>
      <c r="T56" s="254">
        <f t="shared" si="16"/>
        <v>0</v>
      </c>
      <c r="U56" s="254">
        <f t="shared" si="16"/>
        <v>0</v>
      </c>
      <c r="V56" s="254">
        <f t="shared" si="16"/>
        <v>0</v>
      </c>
      <c r="W56" s="254">
        <f t="shared" si="16"/>
        <v>0</v>
      </c>
      <c r="X56" s="255">
        <f t="shared" si="16"/>
        <v>0</v>
      </c>
    </row>
    <row r="57" spans="2:25" hidden="1" x14ac:dyDescent="0.2">
      <c r="B57" s="487"/>
      <c r="C57" s="281" t="s">
        <v>68</v>
      </c>
      <c r="D57" s="282">
        <f t="shared" si="10"/>
        <v>214.15</v>
      </c>
      <c r="E57" s="254">
        <f t="shared" ref="E57:X57" si="17">IF(E$8&gt;=7,E$7*E$6/E$8,0)+IF(E$13&gt;=7,E$12*E$11/E$13,0)+IF(E$18&gt;=7,E$17*E$16/E$18,0)+IF(E$23&gt;=7,E$22*E$21/E$23,0)+IF(E$28&gt;=7,E$27*E$26/E$28,0)+E$31</f>
        <v>26.1</v>
      </c>
      <c r="F57" s="254">
        <f t="shared" si="17"/>
        <v>26.1</v>
      </c>
      <c r="G57" s="254">
        <f t="shared" si="17"/>
        <v>26.1</v>
      </c>
      <c r="H57" s="254">
        <f t="shared" si="17"/>
        <v>73.13333333333334</v>
      </c>
      <c r="I57" s="254">
        <f t="shared" si="17"/>
        <v>62.716666666666669</v>
      </c>
      <c r="J57" s="254">
        <f t="shared" si="17"/>
        <v>0</v>
      </c>
      <c r="K57" s="254">
        <f t="shared" si="17"/>
        <v>0</v>
      </c>
      <c r="L57" s="254">
        <f t="shared" si="17"/>
        <v>0</v>
      </c>
      <c r="M57" s="254">
        <f t="shared" si="17"/>
        <v>0</v>
      </c>
      <c r="N57" s="254">
        <f t="shared" si="17"/>
        <v>0</v>
      </c>
      <c r="O57" s="254">
        <f t="shared" si="17"/>
        <v>0</v>
      </c>
      <c r="P57" s="254">
        <f t="shared" si="17"/>
        <v>0</v>
      </c>
      <c r="Q57" s="254">
        <f t="shared" si="17"/>
        <v>0</v>
      </c>
      <c r="R57" s="254">
        <f t="shared" si="17"/>
        <v>0</v>
      </c>
      <c r="S57" s="254">
        <f t="shared" si="17"/>
        <v>0</v>
      </c>
      <c r="T57" s="254">
        <f t="shared" si="17"/>
        <v>0</v>
      </c>
      <c r="U57" s="254">
        <f t="shared" si="17"/>
        <v>0</v>
      </c>
      <c r="V57" s="254">
        <f t="shared" si="17"/>
        <v>0</v>
      </c>
      <c r="W57" s="254">
        <f t="shared" si="17"/>
        <v>0</v>
      </c>
      <c r="X57" s="255">
        <f t="shared" si="17"/>
        <v>0</v>
      </c>
    </row>
    <row r="58" spans="2:25" hidden="1" x14ac:dyDescent="0.2">
      <c r="B58" s="487"/>
      <c r="C58" s="281" t="s">
        <v>69</v>
      </c>
      <c r="D58" s="282">
        <f t="shared" si="10"/>
        <v>214.15</v>
      </c>
      <c r="E58" s="254">
        <f t="shared" ref="E58:X58" si="18">IF(E$8&gt;=8,E$7*E$6/E$8,0)+IF(E$13&gt;=8,E$12*E$11/E$13,0)+IF(E$18&gt;=8,E$17*E$16/E$18,0)+IF(E$23&gt;=8,E$22*E$21/E$23,0)+IF(E$28&gt;=8,E$27*E$26/E$28,0)+E$31</f>
        <v>26.1</v>
      </c>
      <c r="F58" s="254">
        <f t="shared" si="18"/>
        <v>26.1</v>
      </c>
      <c r="G58" s="254">
        <f t="shared" si="18"/>
        <v>26.1</v>
      </c>
      <c r="H58" s="254">
        <f t="shared" si="18"/>
        <v>73.13333333333334</v>
      </c>
      <c r="I58" s="254">
        <f t="shared" si="18"/>
        <v>62.716666666666669</v>
      </c>
      <c r="J58" s="254">
        <f t="shared" si="18"/>
        <v>0</v>
      </c>
      <c r="K58" s="254">
        <f t="shared" si="18"/>
        <v>0</v>
      </c>
      <c r="L58" s="254">
        <f t="shared" si="18"/>
        <v>0</v>
      </c>
      <c r="M58" s="254">
        <f t="shared" si="18"/>
        <v>0</v>
      </c>
      <c r="N58" s="254">
        <f t="shared" si="18"/>
        <v>0</v>
      </c>
      <c r="O58" s="254">
        <f t="shared" si="18"/>
        <v>0</v>
      </c>
      <c r="P58" s="254">
        <f t="shared" si="18"/>
        <v>0</v>
      </c>
      <c r="Q58" s="254">
        <f t="shared" si="18"/>
        <v>0</v>
      </c>
      <c r="R58" s="254">
        <f t="shared" si="18"/>
        <v>0</v>
      </c>
      <c r="S58" s="254">
        <f t="shared" si="18"/>
        <v>0</v>
      </c>
      <c r="T58" s="254">
        <f t="shared" si="18"/>
        <v>0</v>
      </c>
      <c r="U58" s="254">
        <f t="shared" si="18"/>
        <v>0</v>
      </c>
      <c r="V58" s="254">
        <f t="shared" si="18"/>
        <v>0</v>
      </c>
      <c r="W58" s="254">
        <f t="shared" si="18"/>
        <v>0</v>
      </c>
      <c r="X58" s="255">
        <f t="shared" si="18"/>
        <v>0</v>
      </c>
    </row>
    <row r="59" spans="2:25" hidden="1" x14ac:dyDescent="0.2">
      <c r="B59" s="487"/>
      <c r="C59" s="281" t="s">
        <v>70</v>
      </c>
      <c r="D59" s="282">
        <f t="shared" si="10"/>
        <v>214.15</v>
      </c>
      <c r="E59" s="254">
        <f t="shared" ref="E59:X59" si="19">IF(E$8&gt;=9,E$7*E$6/E$8,0)+IF(E$13&gt;=9,E$12*E$11/E$13,0)+IF(E$18&gt;=9,E$17*E$16/E$18,0)+IF(E$23&gt;=9,E$22*E$21/E$23,0)+IF(E$28&gt;=9,E$27*E$26/E$28,0)+E$31</f>
        <v>26.1</v>
      </c>
      <c r="F59" s="254">
        <f t="shared" si="19"/>
        <v>26.1</v>
      </c>
      <c r="G59" s="254">
        <f t="shared" si="19"/>
        <v>26.1</v>
      </c>
      <c r="H59" s="254">
        <f t="shared" si="19"/>
        <v>73.13333333333334</v>
      </c>
      <c r="I59" s="254">
        <f t="shared" si="19"/>
        <v>62.716666666666669</v>
      </c>
      <c r="J59" s="254">
        <f t="shared" si="19"/>
        <v>0</v>
      </c>
      <c r="K59" s="254">
        <f t="shared" si="19"/>
        <v>0</v>
      </c>
      <c r="L59" s="254">
        <f t="shared" si="19"/>
        <v>0</v>
      </c>
      <c r="M59" s="254">
        <f t="shared" si="19"/>
        <v>0</v>
      </c>
      <c r="N59" s="254">
        <f t="shared" si="19"/>
        <v>0</v>
      </c>
      <c r="O59" s="254">
        <f t="shared" si="19"/>
        <v>0</v>
      </c>
      <c r="P59" s="254">
        <f t="shared" si="19"/>
        <v>0</v>
      </c>
      <c r="Q59" s="254">
        <f t="shared" si="19"/>
        <v>0</v>
      </c>
      <c r="R59" s="254">
        <f t="shared" si="19"/>
        <v>0</v>
      </c>
      <c r="S59" s="254">
        <f t="shared" si="19"/>
        <v>0</v>
      </c>
      <c r="T59" s="254">
        <f t="shared" si="19"/>
        <v>0</v>
      </c>
      <c r="U59" s="254">
        <f t="shared" si="19"/>
        <v>0</v>
      </c>
      <c r="V59" s="254">
        <f t="shared" si="19"/>
        <v>0</v>
      </c>
      <c r="W59" s="254">
        <f t="shared" si="19"/>
        <v>0</v>
      </c>
      <c r="X59" s="255">
        <f t="shared" si="19"/>
        <v>0</v>
      </c>
    </row>
    <row r="60" spans="2:25" hidden="1" x14ac:dyDescent="0.2">
      <c r="B60" s="487"/>
      <c r="C60" s="281" t="s">
        <v>71</v>
      </c>
      <c r="D60" s="282">
        <f t="shared" si="10"/>
        <v>214.15</v>
      </c>
      <c r="E60" s="254">
        <f t="shared" ref="E60:X60" si="20">IF(E$8&gt;=10,E$7*E$6/E$8,0)+IF(E$13&gt;=10,E$12*E$11/E$13,0)+IF(E$18&gt;=10,E$17*E$16/E$18,0)+IF(E$23&gt;=10,E$22*E$21/E$23,0)+IF(E$28&gt;=10,E$27*E$26/E$28,0)+E$31</f>
        <v>26.1</v>
      </c>
      <c r="F60" s="254">
        <f t="shared" si="20"/>
        <v>26.1</v>
      </c>
      <c r="G60" s="254">
        <f t="shared" si="20"/>
        <v>26.1</v>
      </c>
      <c r="H60" s="254">
        <f t="shared" si="20"/>
        <v>73.13333333333334</v>
      </c>
      <c r="I60" s="254">
        <f t="shared" si="20"/>
        <v>62.716666666666669</v>
      </c>
      <c r="J60" s="254">
        <f t="shared" si="20"/>
        <v>0</v>
      </c>
      <c r="K60" s="254">
        <f t="shared" si="20"/>
        <v>0</v>
      </c>
      <c r="L60" s="254">
        <f t="shared" si="20"/>
        <v>0</v>
      </c>
      <c r="M60" s="254">
        <f t="shared" si="20"/>
        <v>0</v>
      </c>
      <c r="N60" s="254">
        <f t="shared" si="20"/>
        <v>0</v>
      </c>
      <c r="O60" s="254">
        <f t="shared" si="20"/>
        <v>0</v>
      </c>
      <c r="P60" s="254">
        <f t="shared" si="20"/>
        <v>0</v>
      </c>
      <c r="Q60" s="254">
        <f t="shared" si="20"/>
        <v>0</v>
      </c>
      <c r="R60" s="254">
        <f t="shared" si="20"/>
        <v>0</v>
      </c>
      <c r="S60" s="254">
        <f t="shared" si="20"/>
        <v>0</v>
      </c>
      <c r="T60" s="254">
        <f t="shared" si="20"/>
        <v>0</v>
      </c>
      <c r="U60" s="254">
        <f t="shared" si="20"/>
        <v>0</v>
      </c>
      <c r="V60" s="254">
        <f t="shared" si="20"/>
        <v>0</v>
      </c>
      <c r="W60" s="254">
        <f t="shared" si="20"/>
        <v>0</v>
      </c>
      <c r="X60" s="255">
        <f t="shared" si="20"/>
        <v>0</v>
      </c>
    </row>
    <row r="61" spans="2:25" hidden="1" x14ac:dyDescent="0.2">
      <c r="B61" s="487"/>
      <c r="C61" s="281" t="s">
        <v>72</v>
      </c>
      <c r="D61" s="282">
        <f t="shared" si="10"/>
        <v>214.15</v>
      </c>
      <c r="E61" s="254">
        <f t="shared" ref="E61:X61" si="21">IF(E$8&gt;=11,E$7*E$6/E$8,0)+IF(E$13&gt;=11,E$12*E$11/E$13,0)+IF(E$18&gt;=11,E$17*E$16/E$18,0)+IF(E$23&gt;=11,E$22*E$21/E$23,0)+IF(E$28&gt;=11,E$27*E$26/E$28,0)+E$31</f>
        <v>26.1</v>
      </c>
      <c r="F61" s="254">
        <f t="shared" si="21"/>
        <v>26.1</v>
      </c>
      <c r="G61" s="254">
        <f t="shared" si="21"/>
        <v>26.1</v>
      </c>
      <c r="H61" s="254">
        <f t="shared" si="21"/>
        <v>73.13333333333334</v>
      </c>
      <c r="I61" s="254">
        <f t="shared" si="21"/>
        <v>62.716666666666669</v>
      </c>
      <c r="J61" s="254">
        <f t="shared" si="21"/>
        <v>0</v>
      </c>
      <c r="K61" s="254">
        <f t="shared" si="21"/>
        <v>0</v>
      </c>
      <c r="L61" s="254">
        <f t="shared" si="21"/>
        <v>0</v>
      </c>
      <c r="M61" s="254">
        <f t="shared" si="21"/>
        <v>0</v>
      </c>
      <c r="N61" s="254">
        <f t="shared" si="21"/>
        <v>0</v>
      </c>
      <c r="O61" s="254">
        <f t="shared" si="21"/>
        <v>0</v>
      </c>
      <c r="P61" s="254">
        <f t="shared" si="21"/>
        <v>0</v>
      </c>
      <c r="Q61" s="254">
        <f t="shared" si="21"/>
        <v>0</v>
      </c>
      <c r="R61" s="254">
        <f t="shared" si="21"/>
        <v>0</v>
      </c>
      <c r="S61" s="254">
        <f t="shared" si="21"/>
        <v>0</v>
      </c>
      <c r="T61" s="254">
        <f t="shared" si="21"/>
        <v>0</v>
      </c>
      <c r="U61" s="254">
        <f t="shared" si="21"/>
        <v>0</v>
      </c>
      <c r="V61" s="254">
        <f t="shared" si="21"/>
        <v>0</v>
      </c>
      <c r="W61" s="254">
        <f t="shared" si="21"/>
        <v>0</v>
      </c>
      <c r="X61" s="255">
        <f t="shared" si="21"/>
        <v>0</v>
      </c>
    </row>
    <row r="62" spans="2:25" hidden="1" x14ac:dyDescent="0.2">
      <c r="B62" s="487"/>
      <c r="C62" s="281" t="s">
        <v>73</v>
      </c>
      <c r="D62" s="282">
        <f t="shared" si="10"/>
        <v>214.15</v>
      </c>
      <c r="E62" s="254">
        <f t="shared" ref="E62:X62" si="22">IF(E$8&gt;=12,E$7*E$6/E$8,0)+IF(E$13&gt;=12,E$12*E$11/E$13,0)+IF(E$18&gt;=12,E$17*E$16/E$18,0)+IF(E$23&gt;=12,E$22*E$21/E$23,0)+IF(E$28&gt;=12,E$27*E$26/E$28,0)+E$31</f>
        <v>26.1</v>
      </c>
      <c r="F62" s="254">
        <f t="shared" si="22"/>
        <v>26.1</v>
      </c>
      <c r="G62" s="254">
        <f t="shared" si="22"/>
        <v>26.1</v>
      </c>
      <c r="H62" s="254">
        <f t="shared" si="22"/>
        <v>73.13333333333334</v>
      </c>
      <c r="I62" s="254">
        <f t="shared" si="22"/>
        <v>62.716666666666669</v>
      </c>
      <c r="J62" s="254">
        <f t="shared" si="22"/>
        <v>0</v>
      </c>
      <c r="K62" s="254">
        <f t="shared" si="22"/>
        <v>0</v>
      </c>
      <c r="L62" s="254">
        <f t="shared" si="22"/>
        <v>0</v>
      </c>
      <c r="M62" s="254">
        <f t="shared" si="22"/>
        <v>0</v>
      </c>
      <c r="N62" s="254">
        <f t="shared" si="22"/>
        <v>0</v>
      </c>
      <c r="O62" s="254">
        <f t="shared" si="22"/>
        <v>0</v>
      </c>
      <c r="P62" s="254">
        <f t="shared" si="22"/>
        <v>0</v>
      </c>
      <c r="Q62" s="254">
        <f t="shared" si="22"/>
        <v>0</v>
      </c>
      <c r="R62" s="254">
        <f t="shared" si="22"/>
        <v>0</v>
      </c>
      <c r="S62" s="254">
        <f t="shared" si="22"/>
        <v>0</v>
      </c>
      <c r="T62" s="254">
        <f t="shared" si="22"/>
        <v>0</v>
      </c>
      <c r="U62" s="254">
        <f t="shared" si="22"/>
        <v>0</v>
      </c>
      <c r="V62" s="254">
        <f t="shared" si="22"/>
        <v>0</v>
      </c>
      <c r="W62" s="254">
        <f t="shared" si="22"/>
        <v>0</v>
      </c>
      <c r="X62" s="255">
        <f t="shared" si="22"/>
        <v>0</v>
      </c>
    </row>
    <row r="63" spans="2:25" hidden="1" x14ac:dyDescent="0.2">
      <c r="B63" s="487"/>
      <c r="C63" s="281" t="s">
        <v>74</v>
      </c>
      <c r="D63" s="282">
        <f t="shared" si="10"/>
        <v>214.15</v>
      </c>
      <c r="E63" s="254">
        <f t="shared" ref="E63:X63" si="23">IF(E$8&gt;=13,E$7*E$6/E$8,0)+IF(E$13&gt;=13,E$12*E$11/E$13,0)+IF(E$18&gt;=13,E$17*E$16/E$18,0)+IF(E$23&gt;=13,E$22*E$21/E$23,0)+IF(E$28&gt;=13,E$27*E$26/E$28,0)+E$31</f>
        <v>26.1</v>
      </c>
      <c r="F63" s="254">
        <f t="shared" si="23"/>
        <v>26.1</v>
      </c>
      <c r="G63" s="254">
        <f t="shared" si="23"/>
        <v>26.1</v>
      </c>
      <c r="H63" s="254">
        <f t="shared" si="23"/>
        <v>73.13333333333334</v>
      </c>
      <c r="I63" s="254">
        <f t="shared" si="23"/>
        <v>62.716666666666669</v>
      </c>
      <c r="J63" s="254">
        <f t="shared" si="23"/>
        <v>0</v>
      </c>
      <c r="K63" s="254">
        <f t="shared" si="23"/>
        <v>0</v>
      </c>
      <c r="L63" s="254">
        <f t="shared" si="23"/>
        <v>0</v>
      </c>
      <c r="M63" s="254">
        <f t="shared" si="23"/>
        <v>0</v>
      </c>
      <c r="N63" s="254">
        <f t="shared" si="23"/>
        <v>0</v>
      </c>
      <c r="O63" s="254">
        <f t="shared" si="23"/>
        <v>0</v>
      </c>
      <c r="P63" s="254">
        <f t="shared" si="23"/>
        <v>0</v>
      </c>
      <c r="Q63" s="254">
        <f t="shared" si="23"/>
        <v>0</v>
      </c>
      <c r="R63" s="254">
        <f t="shared" si="23"/>
        <v>0</v>
      </c>
      <c r="S63" s="254">
        <f t="shared" si="23"/>
        <v>0</v>
      </c>
      <c r="T63" s="254">
        <f t="shared" si="23"/>
        <v>0</v>
      </c>
      <c r="U63" s="254">
        <f t="shared" si="23"/>
        <v>0</v>
      </c>
      <c r="V63" s="254">
        <f t="shared" si="23"/>
        <v>0</v>
      </c>
      <c r="W63" s="254">
        <f t="shared" si="23"/>
        <v>0</v>
      </c>
      <c r="X63" s="255">
        <f t="shared" si="23"/>
        <v>0</v>
      </c>
    </row>
    <row r="64" spans="2:25" hidden="1" x14ac:dyDescent="0.2">
      <c r="B64" s="487"/>
      <c r="C64" s="281" t="s">
        <v>75</v>
      </c>
      <c r="D64" s="282">
        <f t="shared" si="10"/>
        <v>214.15</v>
      </c>
      <c r="E64" s="254">
        <f t="shared" ref="E64:X64" si="24">IF(E$8&gt;=14,E$7*E$6/E$8,0)+IF(E$13&gt;=14,E$12*E$11/E$13,0)+IF(E$18&gt;=14,E$17*E$16/E$18,0)+IF(E$23&gt;=14,E$22*E$21/E$23,0)+IF(E$28&gt;=14,E$27*E$26/E$28,0)+E$31</f>
        <v>26.1</v>
      </c>
      <c r="F64" s="254">
        <f t="shared" si="24"/>
        <v>26.1</v>
      </c>
      <c r="G64" s="254">
        <f t="shared" si="24"/>
        <v>26.1</v>
      </c>
      <c r="H64" s="254">
        <f t="shared" si="24"/>
        <v>73.13333333333334</v>
      </c>
      <c r="I64" s="254">
        <f t="shared" si="24"/>
        <v>62.716666666666669</v>
      </c>
      <c r="J64" s="254">
        <f t="shared" si="24"/>
        <v>0</v>
      </c>
      <c r="K64" s="254">
        <f t="shared" si="24"/>
        <v>0</v>
      </c>
      <c r="L64" s="254">
        <f t="shared" si="24"/>
        <v>0</v>
      </c>
      <c r="M64" s="254">
        <f t="shared" si="24"/>
        <v>0</v>
      </c>
      <c r="N64" s="254">
        <f t="shared" si="24"/>
        <v>0</v>
      </c>
      <c r="O64" s="254">
        <f t="shared" si="24"/>
        <v>0</v>
      </c>
      <c r="P64" s="254">
        <f t="shared" si="24"/>
        <v>0</v>
      </c>
      <c r="Q64" s="254">
        <f t="shared" si="24"/>
        <v>0</v>
      </c>
      <c r="R64" s="254">
        <f t="shared" si="24"/>
        <v>0</v>
      </c>
      <c r="S64" s="254">
        <f t="shared" si="24"/>
        <v>0</v>
      </c>
      <c r="T64" s="254">
        <f t="shared" si="24"/>
        <v>0</v>
      </c>
      <c r="U64" s="254">
        <f t="shared" si="24"/>
        <v>0</v>
      </c>
      <c r="V64" s="254">
        <f t="shared" si="24"/>
        <v>0</v>
      </c>
      <c r="W64" s="254">
        <f t="shared" si="24"/>
        <v>0</v>
      </c>
      <c r="X64" s="255">
        <f t="shared" si="24"/>
        <v>0</v>
      </c>
    </row>
    <row r="65" spans="2:24" hidden="1" x14ac:dyDescent="0.2">
      <c r="B65" s="487"/>
      <c r="C65" s="281" t="s">
        <v>76</v>
      </c>
      <c r="D65" s="282">
        <f t="shared" si="10"/>
        <v>214.15</v>
      </c>
      <c r="E65" s="254">
        <f t="shared" ref="E65:X65" si="25">IF(E$8&gt;=15,E$7*E$6/E$8,0)+IF(E$13&gt;=15,E$12*E$11/E$13,0)+IF(E$18&gt;=15,E$17*E$16/E$18,0)+IF(E$23&gt;=15,E$22*E$21/E$23,0)+IF(E$28&gt;=15,E$27*E$26/E$28,0)+E$31</f>
        <v>26.1</v>
      </c>
      <c r="F65" s="254">
        <f t="shared" si="25"/>
        <v>26.1</v>
      </c>
      <c r="G65" s="254">
        <f t="shared" si="25"/>
        <v>26.1</v>
      </c>
      <c r="H65" s="254">
        <f t="shared" si="25"/>
        <v>73.13333333333334</v>
      </c>
      <c r="I65" s="254">
        <f t="shared" si="25"/>
        <v>62.716666666666669</v>
      </c>
      <c r="J65" s="254">
        <f t="shared" si="25"/>
        <v>0</v>
      </c>
      <c r="K65" s="254">
        <f t="shared" si="25"/>
        <v>0</v>
      </c>
      <c r="L65" s="254">
        <f t="shared" si="25"/>
        <v>0</v>
      </c>
      <c r="M65" s="254">
        <f t="shared" si="25"/>
        <v>0</v>
      </c>
      <c r="N65" s="254">
        <f t="shared" si="25"/>
        <v>0</v>
      </c>
      <c r="O65" s="254">
        <f t="shared" si="25"/>
        <v>0</v>
      </c>
      <c r="P65" s="254">
        <f t="shared" si="25"/>
        <v>0</v>
      </c>
      <c r="Q65" s="254">
        <f t="shared" si="25"/>
        <v>0</v>
      </c>
      <c r="R65" s="254">
        <f t="shared" si="25"/>
        <v>0</v>
      </c>
      <c r="S65" s="254">
        <f t="shared" si="25"/>
        <v>0</v>
      </c>
      <c r="T65" s="254">
        <f t="shared" si="25"/>
        <v>0</v>
      </c>
      <c r="U65" s="254">
        <f t="shared" si="25"/>
        <v>0</v>
      </c>
      <c r="V65" s="254">
        <f t="shared" si="25"/>
        <v>0</v>
      </c>
      <c r="W65" s="254">
        <f t="shared" si="25"/>
        <v>0</v>
      </c>
      <c r="X65" s="255">
        <f t="shared" si="25"/>
        <v>0</v>
      </c>
    </row>
    <row r="66" spans="2:24" hidden="1" x14ac:dyDescent="0.2">
      <c r="B66" s="487"/>
      <c r="C66" s="281" t="s">
        <v>77</v>
      </c>
      <c r="D66" s="282">
        <f t="shared" si="10"/>
        <v>53.816666666666663</v>
      </c>
      <c r="E66" s="254">
        <f t="shared" ref="E66:X66" si="26">IF(E$8&gt;=16,E$7*E$6/E$8,0)+IF(E$13&gt;=16,E$12*E$11/E$13,0)+IF(E$18&gt;=16,E$17*E$16/E$18,0)+IF(E$23&gt;=16,E$22*E$21/E$23,0)+IF(E$28&gt;=16,E$27*E$26/E$28,0)+E$31</f>
        <v>8.1</v>
      </c>
      <c r="F66" s="254">
        <f t="shared" si="26"/>
        <v>8.1</v>
      </c>
      <c r="G66" s="254">
        <f t="shared" si="26"/>
        <v>8.1</v>
      </c>
      <c r="H66" s="254">
        <f t="shared" si="26"/>
        <v>15.8</v>
      </c>
      <c r="I66" s="254">
        <f t="shared" si="26"/>
        <v>13.716666666666667</v>
      </c>
      <c r="J66" s="254">
        <f t="shared" si="26"/>
        <v>0</v>
      </c>
      <c r="K66" s="254">
        <f t="shared" si="26"/>
        <v>0</v>
      </c>
      <c r="L66" s="254">
        <f t="shared" si="26"/>
        <v>0</v>
      </c>
      <c r="M66" s="254">
        <f t="shared" si="26"/>
        <v>0</v>
      </c>
      <c r="N66" s="254">
        <f t="shared" si="26"/>
        <v>0</v>
      </c>
      <c r="O66" s="254">
        <f t="shared" si="26"/>
        <v>0</v>
      </c>
      <c r="P66" s="254">
        <f t="shared" si="26"/>
        <v>0</v>
      </c>
      <c r="Q66" s="254">
        <f t="shared" si="26"/>
        <v>0</v>
      </c>
      <c r="R66" s="254">
        <f t="shared" si="26"/>
        <v>0</v>
      </c>
      <c r="S66" s="254">
        <f t="shared" si="26"/>
        <v>0</v>
      </c>
      <c r="T66" s="254">
        <f t="shared" si="26"/>
        <v>0</v>
      </c>
      <c r="U66" s="254">
        <f t="shared" si="26"/>
        <v>0</v>
      </c>
      <c r="V66" s="254">
        <f t="shared" si="26"/>
        <v>0</v>
      </c>
      <c r="W66" s="254">
        <f t="shared" si="26"/>
        <v>0</v>
      </c>
      <c r="X66" s="255">
        <f t="shared" si="26"/>
        <v>0</v>
      </c>
    </row>
    <row r="67" spans="2:24" hidden="1" x14ac:dyDescent="0.2">
      <c r="B67" s="487"/>
      <c r="C67" s="281" t="s">
        <v>78</v>
      </c>
      <c r="D67" s="282">
        <f t="shared" si="10"/>
        <v>53.816666666666663</v>
      </c>
      <c r="E67" s="254">
        <f t="shared" ref="E67:X67" si="27">IF(E$8&gt;=17,E$7*E$6/E$8,0)+IF(E$13&gt;=17,E$12*E$11/E$13,0)+IF(E$18&gt;=17,E$17*E$16/E$18,0)+IF(E$23&gt;=17,E$22*E$21/E$23,0)+IF(E$28&gt;=17,E$27*E$26/E$28,0)+E$31</f>
        <v>8.1</v>
      </c>
      <c r="F67" s="254">
        <f t="shared" si="27"/>
        <v>8.1</v>
      </c>
      <c r="G67" s="254">
        <f t="shared" si="27"/>
        <v>8.1</v>
      </c>
      <c r="H67" s="254">
        <f t="shared" si="27"/>
        <v>15.8</v>
      </c>
      <c r="I67" s="254">
        <f t="shared" si="27"/>
        <v>13.716666666666667</v>
      </c>
      <c r="J67" s="254">
        <f t="shared" si="27"/>
        <v>0</v>
      </c>
      <c r="K67" s="254">
        <f t="shared" si="27"/>
        <v>0</v>
      </c>
      <c r="L67" s="254">
        <f t="shared" si="27"/>
        <v>0</v>
      </c>
      <c r="M67" s="254">
        <f t="shared" si="27"/>
        <v>0</v>
      </c>
      <c r="N67" s="254">
        <f t="shared" si="27"/>
        <v>0</v>
      </c>
      <c r="O67" s="254">
        <f t="shared" si="27"/>
        <v>0</v>
      </c>
      <c r="P67" s="254">
        <f t="shared" si="27"/>
        <v>0</v>
      </c>
      <c r="Q67" s="254">
        <f t="shared" si="27"/>
        <v>0</v>
      </c>
      <c r="R67" s="254">
        <f t="shared" si="27"/>
        <v>0</v>
      </c>
      <c r="S67" s="254">
        <f t="shared" si="27"/>
        <v>0</v>
      </c>
      <c r="T67" s="254">
        <f t="shared" si="27"/>
        <v>0</v>
      </c>
      <c r="U67" s="254">
        <f t="shared" si="27"/>
        <v>0</v>
      </c>
      <c r="V67" s="254">
        <f t="shared" si="27"/>
        <v>0</v>
      </c>
      <c r="W67" s="254">
        <f t="shared" si="27"/>
        <v>0</v>
      </c>
      <c r="X67" s="255">
        <f t="shared" si="27"/>
        <v>0</v>
      </c>
    </row>
    <row r="68" spans="2:24" hidden="1" x14ac:dyDescent="0.2">
      <c r="B68" s="487"/>
      <c r="C68" s="281" t="s">
        <v>79</v>
      </c>
      <c r="D68" s="282">
        <f t="shared" si="10"/>
        <v>53.816666666666663</v>
      </c>
      <c r="E68" s="254">
        <f t="shared" ref="E68:X68" si="28">IF(E$8&gt;=18,E$7*E$6/E$8,0)+IF(E$13&gt;=18,E$12*E$11/E$13,0)+IF(E$18&gt;=18,E$17*E$16/E$18,0)+IF(E$23&gt;=18,E$22*E$21/E$23,0)+IF(E$28&gt;=18,E$27*E$26/E$28,0)+E$31</f>
        <v>8.1</v>
      </c>
      <c r="F68" s="254">
        <f t="shared" si="28"/>
        <v>8.1</v>
      </c>
      <c r="G68" s="254">
        <f t="shared" si="28"/>
        <v>8.1</v>
      </c>
      <c r="H68" s="254">
        <f t="shared" si="28"/>
        <v>15.8</v>
      </c>
      <c r="I68" s="254">
        <f t="shared" si="28"/>
        <v>13.716666666666667</v>
      </c>
      <c r="J68" s="254">
        <f t="shared" si="28"/>
        <v>0</v>
      </c>
      <c r="K68" s="254">
        <f t="shared" si="28"/>
        <v>0</v>
      </c>
      <c r="L68" s="254">
        <f t="shared" si="28"/>
        <v>0</v>
      </c>
      <c r="M68" s="254">
        <f t="shared" si="28"/>
        <v>0</v>
      </c>
      <c r="N68" s="254">
        <f t="shared" si="28"/>
        <v>0</v>
      </c>
      <c r="O68" s="254">
        <f t="shared" si="28"/>
        <v>0</v>
      </c>
      <c r="P68" s="254">
        <f t="shared" si="28"/>
        <v>0</v>
      </c>
      <c r="Q68" s="254">
        <f t="shared" si="28"/>
        <v>0</v>
      </c>
      <c r="R68" s="254">
        <f t="shared" si="28"/>
        <v>0</v>
      </c>
      <c r="S68" s="254">
        <f t="shared" si="28"/>
        <v>0</v>
      </c>
      <c r="T68" s="254">
        <f t="shared" si="28"/>
        <v>0</v>
      </c>
      <c r="U68" s="254">
        <f t="shared" si="28"/>
        <v>0</v>
      </c>
      <c r="V68" s="254">
        <f t="shared" si="28"/>
        <v>0</v>
      </c>
      <c r="W68" s="254">
        <f t="shared" si="28"/>
        <v>0</v>
      </c>
      <c r="X68" s="255">
        <f t="shared" si="28"/>
        <v>0</v>
      </c>
    </row>
    <row r="69" spans="2:24" hidden="1" x14ac:dyDescent="0.2">
      <c r="B69" s="487"/>
      <c r="C69" s="281" t="s">
        <v>80</v>
      </c>
      <c r="D69" s="282">
        <f t="shared" si="10"/>
        <v>53.816666666666663</v>
      </c>
      <c r="E69" s="254">
        <f t="shared" ref="E69:X69" si="29">IF(E$8&gt;=19,E$7*E$6/E$8,0)+IF(E$13&gt;=19,E$12*E$11/E$13,0)+IF(E$18&gt;=19,E$17*E$16/E$18,0)+IF(E$23&gt;=19,E$22*E$21/E$23,0)+IF(E$28&gt;=19,E$27*E$26/E$28,0)+E$31</f>
        <v>8.1</v>
      </c>
      <c r="F69" s="254">
        <f t="shared" si="29"/>
        <v>8.1</v>
      </c>
      <c r="G69" s="254">
        <f t="shared" si="29"/>
        <v>8.1</v>
      </c>
      <c r="H69" s="254">
        <f t="shared" si="29"/>
        <v>15.8</v>
      </c>
      <c r="I69" s="254">
        <f t="shared" si="29"/>
        <v>13.716666666666667</v>
      </c>
      <c r="J69" s="254">
        <f t="shared" si="29"/>
        <v>0</v>
      </c>
      <c r="K69" s="254">
        <f t="shared" si="29"/>
        <v>0</v>
      </c>
      <c r="L69" s="254">
        <f t="shared" si="29"/>
        <v>0</v>
      </c>
      <c r="M69" s="254">
        <f t="shared" si="29"/>
        <v>0</v>
      </c>
      <c r="N69" s="254">
        <f t="shared" si="29"/>
        <v>0</v>
      </c>
      <c r="O69" s="254">
        <f t="shared" si="29"/>
        <v>0</v>
      </c>
      <c r="P69" s="254">
        <f t="shared" si="29"/>
        <v>0</v>
      </c>
      <c r="Q69" s="254">
        <f t="shared" si="29"/>
        <v>0</v>
      </c>
      <c r="R69" s="254">
        <f t="shared" si="29"/>
        <v>0</v>
      </c>
      <c r="S69" s="254">
        <f t="shared" si="29"/>
        <v>0</v>
      </c>
      <c r="T69" s="254">
        <f t="shared" si="29"/>
        <v>0</v>
      </c>
      <c r="U69" s="254">
        <f t="shared" si="29"/>
        <v>0</v>
      </c>
      <c r="V69" s="254">
        <f t="shared" si="29"/>
        <v>0</v>
      </c>
      <c r="W69" s="254">
        <f t="shared" si="29"/>
        <v>0</v>
      </c>
      <c r="X69" s="255">
        <f t="shared" si="29"/>
        <v>0</v>
      </c>
    </row>
    <row r="70" spans="2:24" hidden="1" x14ac:dyDescent="0.2">
      <c r="B70" s="487"/>
      <c r="C70" s="281" t="s">
        <v>81</v>
      </c>
      <c r="D70" s="282">
        <f t="shared" si="10"/>
        <v>53.816666666666663</v>
      </c>
      <c r="E70" s="254">
        <f t="shared" ref="E70:X70" si="30">IF(E$8&gt;=20,E$7*E$6/E$8,0)+IF(E$13&gt;=20,E$12*E$11/E$13,0)+IF(E$18&gt;=20,E$17*E$16/E$18,0)+IF(E$23&gt;=20,E$22*E$21/E$23,0)+IF(E$28&gt;=20,E$27*E$26/E$28,0)+E$31</f>
        <v>8.1</v>
      </c>
      <c r="F70" s="254">
        <f t="shared" si="30"/>
        <v>8.1</v>
      </c>
      <c r="G70" s="254">
        <f t="shared" si="30"/>
        <v>8.1</v>
      </c>
      <c r="H70" s="254">
        <f t="shared" si="30"/>
        <v>15.8</v>
      </c>
      <c r="I70" s="254">
        <f t="shared" si="30"/>
        <v>13.716666666666667</v>
      </c>
      <c r="J70" s="254">
        <f t="shared" si="30"/>
        <v>0</v>
      </c>
      <c r="K70" s="254">
        <f t="shared" si="30"/>
        <v>0</v>
      </c>
      <c r="L70" s="254">
        <f t="shared" si="30"/>
        <v>0</v>
      </c>
      <c r="M70" s="254">
        <f t="shared" si="30"/>
        <v>0</v>
      </c>
      <c r="N70" s="254">
        <f t="shared" si="30"/>
        <v>0</v>
      </c>
      <c r="O70" s="254">
        <f t="shared" si="30"/>
        <v>0</v>
      </c>
      <c r="P70" s="254">
        <f t="shared" si="30"/>
        <v>0</v>
      </c>
      <c r="Q70" s="254">
        <f t="shared" si="30"/>
        <v>0</v>
      </c>
      <c r="R70" s="254">
        <f t="shared" si="30"/>
        <v>0</v>
      </c>
      <c r="S70" s="254">
        <f t="shared" si="30"/>
        <v>0</v>
      </c>
      <c r="T70" s="254">
        <f t="shared" si="30"/>
        <v>0</v>
      </c>
      <c r="U70" s="254">
        <f t="shared" si="30"/>
        <v>0</v>
      </c>
      <c r="V70" s="254">
        <f t="shared" si="30"/>
        <v>0</v>
      </c>
      <c r="W70" s="254">
        <f t="shared" si="30"/>
        <v>0</v>
      </c>
      <c r="X70" s="255">
        <f t="shared" si="30"/>
        <v>0</v>
      </c>
    </row>
    <row r="71" spans="2:24" hidden="1" x14ac:dyDescent="0.2">
      <c r="B71" s="487"/>
      <c r="C71" s="281" t="s">
        <v>82</v>
      </c>
      <c r="D71" s="282">
        <f t="shared" si="10"/>
        <v>53.816666666666663</v>
      </c>
      <c r="E71" s="254">
        <f t="shared" ref="E71:X71" si="31">IF(E$8&gt;=21,E$7*E$6/E$8,0)+IF(E$13&gt;=21,E$12*E$11/E$13,0)+IF(E$18&gt;=21,E$17*E$16/E$18,0)+IF(E$23&gt;=21,E$22*E$21/E$23,0)+IF(E$28&gt;=21,E$27*E$26/E$28,0)+E$31</f>
        <v>8.1</v>
      </c>
      <c r="F71" s="254">
        <f t="shared" si="31"/>
        <v>8.1</v>
      </c>
      <c r="G71" s="254">
        <f t="shared" si="31"/>
        <v>8.1</v>
      </c>
      <c r="H71" s="254">
        <f t="shared" si="31"/>
        <v>15.8</v>
      </c>
      <c r="I71" s="254">
        <f t="shared" si="31"/>
        <v>13.716666666666667</v>
      </c>
      <c r="J71" s="254">
        <f t="shared" si="31"/>
        <v>0</v>
      </c>
      <c r="K71" s="254">
        <f t="shared" si="31"/>
        <v>0</v>
      </c>
      <c r="L71" s="254">
        <f t="shared" si="31"/>
        <v>0</v>
      </c>
      <c r="M71" s="254">
        <f t="shared" si="31"/>
        <v>0</v>
      </c>
      <c r="N71" s="254">
        <f t="shared" si="31"/>
        <v>0</v>
      </c>
      <c r="O71" s="254">
        <f t="shared" si="31"/>
        <v>0</v>
      </c>
      <c r="P71" s="254">
        <f t="shared" si="31"/>
        <v>0</v>
      </c>
      <c r="Q71" s="254">
        <f t="shared" si="31"/>
        <v>0</v>
      </c>
      <c r="R71" s="254">
        <f t="shared" si="31"/>
        <v>0</v>
      </c>
      <c r="S71" s="254">
        <f t="shared" si="31"/>
        <v>0</v>
      </c>
      <c r="T71" s="254">
        <f t="shared" si="31"/>
        <v>0</v>
      </c>
      <c r="U71" s="254">
        <f t="shared" si="31"/>
        <v>0</v>
      </c>
      <c r="V71" s="254">
        <f t="shared" si="31"/>
        <v>0</v>
      </c>
      <c r="W71" s="254">
        <f t="shared" si="31"/>
        <v>0</v>
      </c>
      <c r="X71" s="255">
        <f t="shared" si="31"/>
        <v>0</v>
      </c>
    </row>
    <row r="72" spans="2:24" hidden="1" x14ac:dyDescent="0.2">
      <c r="B72" s="487"/>
      <c r="C72" s="281" t="s">
        <v>83</v>
      </c>
      <c r="D72" s="282">
        <f t="shared" si="10"/>
        <v>53.816666666666663</v>
      </c>
      <c r="E72" s="254">
        <f t="shared" ref="E72:X72" si="32">IF(E$8&gt;=22,E$7*E$6/E$8,0)+IF(E$13&gt;=22,E$12*E$11/E$13,0)+IF(E$18&gt;=22,E$17*E$16/E$18,0)+IF(E$23&gt;=22,E$22*E$21/E$23,0)+IF(E$28&gt;=22,E$27*E$26/E$28,0)+E$31</f>
        <v>8.1</v>
      </c>
      <c r="F72" s="254">
        <f t="shared" si="32"/>
        <v>8.1</v>
      </c>
      <c r="G72" s="254">
        <f t="shared" si="32"/>
        <v>8.1</v>
      </c>
      <c r="H72" s="254">
        <f t="shared" si="32"/>
        <v>15.8</v>
      </c>
      <c r="I72" s="254">
        <f t="shared" si="32"/>
        <v>13.716666666666667</v>
      </c>
      <c r="J72" s="254">
        <f t="shared" si="32"/>
        <v>0</v>
      </c>
      <c r="K72" s="254">
        <f t="shared" si="32"/>
        <v>0</v>
      </c>
      <c r="L72" s="254">
        <f t="shared" si="32"/>
        <v>0</v>
      </c>
      <c r="M72" s="254">
        <f t="shared" si="32"/>
        <v>0</v>
      </c>
      <c r="N72" s="254">
        <f t="shared" si="32"/>
        <v>0</v>
      </c>
      <c r="O72" s="254">
        <f t="shared" si="32"/>
        <v>0</v>
      </c>
      <c r="P72" s="254">
        <f t="shared" si="32"/>
        <v>0</v>
      </c>
      <c r="Q72" s="254">
        <f t="shared" si="32"/>
        <v>0</v>
      </c>
      <c r="R72" s="254">
        <f t="shared" si="32"/>
        <v>0</v>
      </c>
      <c r="S72" s="254">
        <f t="shared" si="32"/>
        <v>0</v>
      </c>
      <c r="T72" s="254">
        <f t="shared" si="32"/>
        <v>0</v>
      </c>
      <c r="U72" s="254">
        <f t="shared" si="32"/>
        <v>0</v>
      </c>
      <c r="V72" s="254">
        <f t="shared" si="32"/>
        <v>0</v>
      </c>
      <c r="W72" s="254">
        <f t="shared" si="32"/>
        <v>0</v>
      </c>
      <c r="X72" s="255">
        <f t="shared" si="32"/>
        <v>0</v>
      </c>
    </row>
    <row r="73" spans="2:24" hidden="1" x14ac:dyDescent="0.2">
      <c r="B73" s="487"/>
      <c r="C73" s="281" t="s">
        <v>84</v>
      </c>
      <c r="D73" s="282">
        <f t="shared" si="10"/>
        <v>53.816666666666663</v>
      </c>
      <c r="E73" s="254">
        <f t="shared" ref="E73:X73" si="33">IF(E$8&gt;=23,E$7*E$6/E$8,0)+IF(E$13&gt;=23,E$12*E$11/E$13,0)+IF(E$18&gt;=23,E$17*E$16/E$18,0)+IF(E$23&gt;=23,E$22*E$21/E$23,0)+IF(E$28&gt;=23,E$27*E$26/E$28,0)+E$31</f>
        <v>8.1</v>
      </c>
      <c r="F73" s="254">
        <f t="shared" si="33"/>
        <v>8.1</v>
      </c>
      <c r="G73" s="254">
        <f t="shared" si="33"/>
        <v>8.1</v>
      </c>
      <c r="H73" s="254">
        <f t="shared" si="33"/>
        <v>15.8</v>
      </c>
      <c r="I73" s="254">
        <f t="shared" si="33"/>
        <v>13.716666666666667</v>
      </c>
      <c r="J73" s="254">
        <f t="shared" si="33"/>
        <v>0</v>
      </c>
      <c r="K73" s="254">
        <f t="shared" si="33"/>
        <v>0</v>
      </c>
      <c r="L73" s="254">
        <f t="shared" si="33"/>
        <v>0</v>
      </c>
      <c r="M73" s="254">
        <f t="shared" si="33"/>
        <v>0</v>
      </c>
      <c r="N73" s="254">
        <f t="shared" si="33"/>
        <v>0</v>
      </c>
      <c r="O73" s="254">
        <f t="shared" si="33"/>
        <v>0</v>
      </c>
      <c r="P73" s="254">
        <f t="shared" si="33"/>
        <v>0</v>
      </c>
      <c r="Q73" s="254">
        <f t="shared" si="33"/>
        <v>0</v>
      </c>
      <c r="R73" s="254">
        <f t="shared" si="33"/>
        <v>0</v>
      </c>
      <c r="S73" s="254">
        <f t="shared" si="33"/>
        <v>0</v>
      </c>
      <c r="T73" s="254">
        <f t="shared" si="33"/>
        <v>0</v>
      </c>
      <c r="U73" s="254">
        <f t="shared" si="33"/>
        <v>0</v>
      </c>
      <c r="V73" s="254">
        <f t="shared" si="33"/>
        <v>0</v>
      </c>
      <c r="W73" s="254">
        <f t="shared" si="33"/>
        <v>0</v>
      </c>
      <c r="X73" s="255">
        <f t="shared" si="33"/>
        <v>0</v>
      </c>
    </row>
    <row r="74" spans="2:24" hidden="1" x14ac:dyDescent="0.2">
      <c r="B74" s="487"/>
      <c r="C74" s="281" t="s">
        <v>85</v>
      </c>
      <c r="D74" s="282">
        <f t="shared" si="10"/>
        <v>53.816666666666663</v>
      </c>
      <c r="E74" s="254">
        <f t="shared" ref="E74:X74" si="34">IF(E$8&gt;=24,E$7*E$6/E$8,0)+IF(E$13&gt;=24,E$12*E$11/E$13,0)+IF(E$18&gt;=24,E$17*E$16/E$18,0)+IF(E$23&gt;=24,E$22*E$21/E$23,0)+IF(E$28&gt;=24,E$27*E$26/E$28,0)+E$31</f>
        <v>8.1</v>
      </c>
      <c r="F74" s="254">
        <f t="shared" si="34"/>
        <v>8.1</v>
      </c>
      <c r="G74" s="254">
        <f t="shared" si="34"/>
        <v>8.1</v>
      </c>
      <c r="H74" s="254">
        <f t="shared" si="34"/>
        <v>15.8</v>
      </c>
      <c r="I74" s="254">
        <f t="shared" si="34"/>
        <v>13.716666666666667</v>
      </c>
      <c r="J74" s="254">
        <f t="shared" si="34"/>
        <v>0</v>
      </c>
      <c r="K74" s="254">
        <f t="shared" si="34"/>
        <v>0</v>
      </c>
      <c r="L74" s="254">
        <f t="shared" si="34"/>
        <v>0</v>
      </c>
      <c r="M74" s="254">
        <f t="shared" si="34"/>
        <v>0</v>
      </c>
      <c r="N74" s="254">
        <f t="shared" si="34"/>
        <v>0</v>
      </c>
      <c r="O74" s="254">
        <f t="shared" si="34"/>
        <v>0</v>
      </c>
      <c r="P74" s="254">
        <f t="shared" si="34"/>
        <v>0</v>
      </c>
      <c r="Q74" s="254">
        <f t="shared" si="34"/>
        <v>0</v>
      </c>
      <c r="R74" s="254">
        <f t="shared" si="34"/>
        <v>0</v>
      </c>
      <c r="S74" s="254">
        <f t="shared" si="34"/>
        <v>0</v>
      </c>
      <c r="T74" s="254">
        <f t="shared" si="34"/>
        <v>0</v>
      </c>
      <c r="U74" s="254">
        <f t="shared" si="34"/>
        <v>0</v>
      </c>
      <c r="V74" s="254">
        <f t="shared" si="34"/>
        <v>0</v>
      </c>
      <c r="W74" s="254">
        <f t="shared" si="34"/>
        <v>0</v>
      </c>
      <c r="X74" s="255">
        <f t="shared" si="34"/>
        <v>0</v>
      </c>
    </row>
    <row r="75" spans="2:24" hidden="1" x14ac:dyDescent="0.2">
      <c r="B75" s="487"/>
      <c r="C75" s="281" t="s">
        <v>86</v>
      </c>
      <c r="D75" s="282">
        <f t="shared" si="10"/>
        <v>53.816666666666663</v>
      </c>
      <c r="E75" s="254">
        <f t="shared" ref="E75:X75" si="35">IF(E$8&gt;=25,E$7*E$6/E$8,0)+IF(E$13&gt;=25,E$12*E$11/E$13,0)+IF(E$18&gt;=25,E$17*E$16/E$18,0)+IF(E$23&gt;=25,E$22*E$21/E$23,0)+IF(E$28&gt;=25,E$27*E$26/E$28,0)+E$31</f>
        <v>8.1</v>
      </c>
      <c r="F75" s="254">
        <f t="shared" si="35"/>
        <v>8.1</v>
      </c>
      <c r="G75" s="254">
        <f t="shared" si="35"/>
        <v>8.1</v>
      </c>
      <c r="H75" s="254">
        <f t="shared" si="35"/>
        <v>15.8</v>
      </c>
      <c r="I75" s="254">
        <f t="shared" si="35"/>
        <v>13.716666666666667</v>
      </c>
      <c r="J75" s="254">
        <f t="shared" si="35"/>
        <v>0</v>
      </c>
      <c r="K75" s="254">
        <f t="shared" si="35"/>
        <v>0</v>
      </c>
      <c r="L75" s="254">
        <f t="shared" si="35"/>
        <v>0</v>
      </c>
      <c r="M75" s="254">
        <f t="shared" si="35"/>
        <v>0</v>
      </c>
      <c r="N75" s="254">
        <f t="shared" si="35"/>
        <v>0</v>
      </c>
      <c r="O75" s="254">
        <f t="shared" si="35"/>
        <v>0</v>
      </c>
      <c r="P75" s="254">
        <f t="shared" si="35"/>
        <v>0</v>
      </c>
      <c r="Q75" s="254">
        <f t="shared" si="35"/>
        <v>0</v>
      </c>
      <c r="R75" s="254">
        <f t="shared" si="35"/>
        <v>0</v>
      </c>
      <c r="S75" s="254">
        <f t="shared" si="35"/>
        <v>0</v>
      </c>
      <c r="T75" s="254">
        <f t="shared" si="35"/>
        <v>0</v>
      </c>
      <c r="U75" s="254">
        <f t="shared" si="35"/>
        <v>0</v>
      </c>
      <c r="V75" s="254">
        <f t="shared" si="35"/>
        <v>0</v>
      </c>
      <c r="W75" s="254">
        <f t="shared" si="35"/>
        <v>0</v>
      </c>
      <c r="X75" s="255">
        <f t="shared" si="35"/>
        <v>0</v>
      </c>
    </row>
    <row r="76" spans="2:24" hidden="1" x14ac:dyDescent="0.2">
      <c r="B76" s="487"/>
      <c r="C76" s="281" t="s">
        <v>87</v>
      </c>
      <c r="D76" s="282">
        <f t="shared" si="10"/>
        <v>53.816666666666663</v>
      </c>
      <c r="E76" s="254">
        <f t="shared" ref="E76:X76" si="36">IF(E$8&gt;=26,E$7*E$6/E$8,0)+IF(E$13&gt;=26,E$12*E$11/E$13,0)+IF(E$18&gt;=26,E$17*E$16/E$18,0)+IF(E$23&gt;=26,E$22*E$21/E$23,0)+IF(E$28&gt;=26,E$27*E$26/E$28,0)+E$31</f>
        <v>8.1</v>
      </c>
      <c r="F76" s="254">
        <f t="shared" si="36"/>
        <v>8.1</v>
      </c>
      <c r="G76" s="254">
        <f t="shared" si="36"/>
        <v>8.1</v>
      </c>
      <c r="H76" s="254">
        <f t="shared" si="36"/>
        <v>15.8</v>
      </c>
      <c r="I76" s="254">
        <f t="shared" si="36"/>
        <v>13.716666666666667</v>
      </c>
      <c r="J76" s="254">
        <f t="shared" si="36"/>
        <v>0</v>
      </c>
      <c r="K76" s="254">
        <f t="shared" si="36"/>
        <v>0</v>
      </c>
      <c r="L76" s="254">
        <f t="shared" si="36"/>
        <v>0</v>
      </c>
      <c r="M76" s="254">
        <f t="shared" si="36"/>
        <v>0</v>
      </c>
      <c r="N76" s="254">
        <f t="shared" si="36"/>
        <v>0</v>
      </c>
      <c r="O76" s="254">
        <f t="shared" si="36"/>
        <v>0</v>
      </c>
      <c r="P76" s="254">
        <f t="shared" si="36"/>
        <v>0</v>
      </c>
      <c r="Q76" s="254">
        <f t="shared" si="36"/>
        <v>0</v>
      </c>
      <c r="R76" s="254">
        <f t="shared" si="36"/>
        <v>0</v>
      </c>
      <c r="S76" s="254">
        <f t="shared" si="36"/>
        <v>0</v>
      </c>
      <c r="T76" s="254">
        <f t="shared" si="36"/>
        <v>0</v>
      </c>
      <c r="U76" s="254">
        <f t="shared" si="36"/>
        <v>0</v>
      </c>
      <c r="V76" s="254">
        <f t="shared" si="36"/>
        <v>0</v>
      </c>
      <c r="W76" s="254">
        <f t="shared" si="36"/>
        <v>0</v>
      </c>
      <c r="X76" s="255">
        <f t="shared" si="36"/>
        <v>0</v>
      </c>
    </row>
    <row r="77" spans="2:24" hidden="1" x14ac:dyDescent="0.2">
      <c r="B77" s="487"/>
      <c r="C77" s="281" t="s">
        <v>88</v>
      </c>
      <c r="D77" s="282">
        <f t="shared" si="10"/>
        <v>53.816666666666663</v>
      </c>
      <c r="E77" s="254">
        <f t="shared" ref="E77:X77" si="37">IF(E$8&gt;=27,E$7*E$6/E$8,0)+IF(E$13&gt;=27,E$12*E$11/E$13,0)+IF(E$18&gt;=27,E$17*E$16/E$18,0)+IF(E$23&gt;=27,E$22*E$21/E$23,0)+IF(E$28&gt;=27,E$27*E$26/E$28,0)+E$31</f>
        <v>8.1</v>
      </c>
      <c r="F77" s="254">
        <f t="shared" si="37"/>
        <v>8.1</v>
      </c>
      <c r="G77" s="254">
        <f t="shared" si="37"/>
        <v>8.1</v>
      </c>
      <c r="H77" s="254">
        <f t="shared" si="37"/>
        <v>15.8</v>
      </c>
      <c r="I77" s="254">
        <f t="shared" si="37"/>
        <v>13.716666666666667</v>
      </c>
      <c r="J77" s="254">
        <f t="shared" si="37"/>
        <v>0</v>
      </c>
      <c r="K77" s="254">
        <f t="shared" si="37"/>
        <v>0</v>
      </c>
      <c r="L77" s="254">
        <f t="shared" si="37"/>
        <v>0</v>
      </c>
      <c r="M77" s="254">
        <f t="shared" si="37"/>
        <v>0</v>
      </c>
      <c r="N77" s="254">
        <f t="shared" si="37"/>
        <v>0</v>
      </c>
      <c r="O77" s="254">
        <f t="shared" si="37"/>
        <v>0</v>
      </c>
      <c r="P77" s="254">
        <f t="shared" si="37"/>
        <v>0</v>
      </c>
      <c r="Q77" s="254">
        <f t="shared" si="37"/>
        <v>0</v>
      </c>
      <c r="R77" s="254">
        <f t="shared" si="37"/>
        <v>0</v>
      </c>
      <c r="S77" s="254">
        <f t="shared" si="37"/>
        <v>0</v>
      </c>
      <c r="T77" s="254">
        <f t="shared" si="37"/>
        <v>0</v>
      </c>
      <c r="U77" s="254">
        <f t="shared" si="37"/>
        <v>0</v>
      </c>
      <c r="V77" s="254">
        <f t="shared" si="37"/>
        <v>0</v>
      </c>
      <c r="W77" s="254">
        <f t="shared" si="37"/>
        <v>0</v>
      </c>
      <c r="X77" s="255">
        <f t="shared" si="37"/>
        <v>0</v>
      </c>
    </row>
    <row r="78" spans="2:24" hidden="1" x14ac:dyDescent="0.2">
      <c r="B78" s="487"/>
      <c r="C78" s="281" t="s">
        <v>89</v>
      </c>
      <c r="D78" s="282">
        <f t="shared" si="10"/>
        <v>53.816666666666663</v>
      </c>
      <c r="E78" s="254">
        <f t="shared" ref="E78:X78" si="38">IF(E$8&gt;=28,E$7*E$6/E$8,0)+IF(E$13&gt;=28,E$12*E$11/E$13,0)+IF(E$18&gt;=28,E$17*E$16/E$18,0)+IF(E$23&gt;=28,E$22*E$21/E$23,0)+IF(E$28&gt;=28,E$27*E$26/E$28,0)+E$31</f>
        <v>8.1</v>
      </c>
      <c r="F78" s="254">
        <f t="shared" si="38"/>
        <v>8.1</v>
      </c>
      <c r="G78" s="254">
        <f t="shared" si="38"/>
        <v>8.1</v>
      </c>
      <c r="H78" s="254">
        <f t="shared" si="38"/>
        <v>15.8</v>
      </c>
      <c r="I78" s="254">
        <f t="shared" si="38"/>
        <v>13.716666666666667</v>
      </c>
      <c r="J78" s="254">
        <f t="shared" si="38"/>
        <v>0</v>
      </c>
      <c r="K78" s="254">
        <f t="shared" si="38"/>
        <v>0</v>
      </c>
      <c r="L78" s="254">
        <f t="shared" si="38"/>
        <v>0</v>
      </c>
      <c r="M78" s="254">
        <f t="shared" si="38"/>
        <v>0</v>
      </c>
      <c r="N78" s="254">
        <f t="shared" si="38"/>
        <v>0</v>
      </c>
      <c r="O78" s="254">
        <f t="shared" si="38"/>
        <v>0</v>
      </c>
      <c r="P78" s="254">
        <f t="shared" si="38"/>
        <v>0</v>
      </c>
      <c r="Q78" s="254">
        <f t="shared" si="38"/>
        <v>0</v>
      </c>
      <c r="R78" s="254">
        <f t="shared" si="38"/>
        <v>0</v>
      </c>
      <c r="S78" s="254">
        <f t="shared" si="38"/>
        <v>0</v>
      </c>
      <c r="T78" s="254">
        <f t="shared" si="38"/>
        <v>0</v>
      </c>
      <c r="U78" s="254">
        <f t="shared" si="38"/>
        <v>0</v>
      </c>
      <c r="V78" s="254">
        <f t="shared" si="38"/>
        <v>0</v>
      </c>
      <c r="W78" s="254">
        <f t="shared" si="38"/>
        <v>0</v>
      </c>
      <c r="X78" s="255">
        <f t="shared" si="38"/>
        <v>0</v>
      </c>
    </row>
    <row r="79" spans="2:24" hidden="1" x14ac:dyDescent="0.2">
      <c r="B79" s="487"/>
      <c r="C79" s="281" t="s">
        <v>90</v>
      </c>
      <c r="D79" s="282">
        <f t="shared" si="10"/>
        <v>53.816666666666663</v>
      </c>
      <c r="E79" s="254">
        <f t="shared" ref="E79:X79" si="39">IF(E$8&gt;=29,E$7*E$6/E$8,0)+IF(E$13&gt;=29,E$12*E$11/E$13,0)+IF(E$18&gt;=29,E$17*E$16/E$18,0)+IF(E$23&gt;=29,E$22*E$21/E$23,0)+IF(E$28&gt;=29,E$27*E$26/E$28,0)+E$31</f>
        <v>8.1</v>
      </c>
      <c r="F79" s="254">
        <f t="shared" si="39"/>
        <v>8.1</v>
      </c>
      <c r="G79" s="254">
        <f t="shared" si="39"/>
        <v>8.1</v>
      </c>
      <c r="H79" s="254">
        <f t="shared" si="39"/>
        <v>15.8</v>
      </c>
      <c r="I79" s="254">
        <f t="shared" si="39"/>
        <v>13.716666666666667</v>
      </c>
      <c r="J79" s="254">
        <f t="shared" si="39"/>
        <v>0</v>
      </c>
      <c r="K79" s="254">
        <f t="shared" si="39"/>
        <v>0</v>
      </c>
      <c r="L79" s="254">
        <f t="shared" si="39"/>
        <v>0</v>
      </c>
      <c r="M79" s="254">
        <f t="shared" si="39"/>
        <v>0</v>
      </c>
      <c r="N79" s="254">
        <f t="shared" si="39"/>
        <v>0</v>
      </c>
      <c r="O79" s="254">
        <f t="shared" si="39"/>
        <v>0</v>
      </c>
      <c r="P79" s="254">
        <f t="shared" si="39"/>
        <v>0</v>
      </c>
      <c r="Q79" s="254">
        <f t="shared" si="39"/>
        <v>0</v>
      </c>
      <c r="R79" s="254">
        <f t="shared" si="39"/>
        <v>0</v>
      </c>
      <c r="S79" s="254">
        <f t="shared" si="39"/>
        <v>0</v>
      </c>
      <c r="T79" s="254">
        <f t="shared" si="39"/>
        <v>0</v>
      </c>
      <c r="U79" s="254">
        <f t="shared" si="39"/>
        <v>0</v>
      </c>
      <c r="V79" s="254">
        <f t="shared" si="39"/>
        <v>0</v>
      </c>
      <c r="W79" s="254">
        <f t="shared" si="39"/>
        <v>0</v>
      </c>
      <c r="X79" s="255">
        <f t="shared" si="39"/>
        <v>0</v>
      </c>
    </row>
    <row r="80" spans="2:24" ht="13.5" hidden="1" thickBot="1" x14ac:dyDescent="0.25">
      <c r="B80" s="488"/>
      <c r="C80" s="283" t="s">
        <v>91</v>
      </c>
      <c r="D80" s="284">
        <f t="shared" si="10"/>
        <v>53.816666666666663</v>
      </c>
      <c r="E80" s="285">
        <f t="shared" ref="E80:X80" si="40">IF(E$8&gt;=30,E$7*E$6/E$8,0)+IF(E$13&gt;=30,E$12*E$11/E$13,0)+IF(E$18&gt;=30,E$17*E$16/E$18,0)+IF(E$23&gt;=30,E$22*E$21/E$23,0)+IF(E$28&gt;=30,E$27*E$26/E$28,0)+E$31</f>
        <v>8.1</v>
      </c>
      <c r="F80" s="285">
        <f t="shared" si="40"/>
        <v>8.1</v>
      </c>
      <c r="G80" s="285">
        <f t="shared" si="40"/>
        <v>8.1</v>
      </c>
      <c r="H80" s="285">
        <f t="shared" si="40"/>
        <v>15.8</v>
      </c>
      <c r="I80" s="285">
        <f t="shared" si="40"/>
        <v>13.716666666666667</v>
      </c>
      <c r="J80" s="285">
        <f t="shared" si="40"/>
        <v>0</v>
      </c>
      <c r="K80" s="285">
        <f t="shared" si="40"/>
        <v>0</v>
      </c>
      <c r="L80" s="285">
        <f t="shared" si="40"/>
        <v>0</v>
      </c>
      <c r="M80" s="285">
        <f t="shared" si="40"/>
        <v>0</v>
      </c>
      <c r="N80" s="285">
        <f t="shared" si="40"/>
        <v>0</v>
      </c>
      <c r="O80" s="285">
        <f t="shared" si="40"/>
        <v>0</v>
      </c>
      <c r="P80" s="285">
        <f t="shared" si="40"/>
        <v>0</v>
      </c>
      <c r="Q80" s="285">
        <f t="shared" si="40"/>
        <v>0</v>
      </c>
      <c r="R80" s="285">
        <f t="shared" si="40"/>
        <v>0</v>
      </c>
      <c r="S80" s="285">
        <f t="shared" si="40"/>
        <v>0</v>
      </c>
      <c r="T80" s="285">
        <f t="shared" si="40"/>
        <v>0</v>
      </c>
      <c r="U80" s="285">
        <f t="shared" si="40"/>
        <v>0</v>
      </c>
      <c r="V80" s="285">
        <f t="shared" si="40"/>
        <v>0</v>
      </c>
      <c r="W80" s="285">
        <f t="shared" si="40"/>
        <v>0</v>
      </c>
      <c r="X80" s="286">
        <f t="shared" si="40"/>
        <v>0</v>
      </c>
    </row>
    <row r="99" spans="4:4" x14ac:dyDescent="0.2">
      <c r="D99" s="287"/>
    </row>
  </sheetData>
  <sheetProtection password="A499" sheet="1"/>
  <mergeCells count="2">
    <mergeCell ref="B51:B80"/>
    <mergeCell ref="B34:B37"/>
  </mergeCells>
  <phoneticPr fontId="1" type="noConversion"/>
  <conditionalFormatting sqref="E50:X80">
    <cfRule type="cellIs" dxfId="0" priority="2" stopIfTrue="1" operator="equal">
      <formula>0</formula>
    </cfRule>
  </conditionalFormatting>
  <pageMargins left="0.78740157499999996" right="0.78740157499999996" top="0.984251969" bottom="0.984251969" header="0.4921259845" footer="0.4921259845"/>
  <pageSetup paperSize="192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A52"/>
  <sheetViews>
    <sheetView showGridLines="0" tabSelected="1" zoomScaleNormal="100" workbookViewId="0">
      <selection activeCell="M23" sqref="M23"/>
    </sheetView>
  </sheetViews>
  <sheetFormatPr defaultRowHeight="12.75" x14ac:dyDescent="0.2"/>
  <cols>
    <col min="1" max="1" width="2.85546875" style="2" customWidth="1"/>
    <col min="2" max="2" width="20.5703125" style="2" customWidth="1"/>
    <col min="3" max="3" width="13.5703125" style="2" customWidth="1"/>
    <col min="4" max="4" width="10.5703125" style="3" customWidth="1"/>
    <col min="5" max="24" width="11.7109375" style="2" customWidth="1"/>
    <col min="25" max="16384" width="9.140625" style="2"/>
  </cols>
  <sheetData>
    <row r="2" spans="2:27" ht="13.5" thickBot="1" x14ac:dyDescent="0.25">
      <c r="B2" s="1" t="s">
        <v>277</v>
      </c>
    </row>
    <row r="3" spans="2:27" x14ac:dyDescent="0.2">
      <c r="B3" s="228" t="s">
        <v>138</v>
      </c>
      <c r="C3" s="229"/>
      <c r="D3" s="105"/>
      <c r="E3" s="105" t="s">
        <v>17</v>
      </c>
      <c r="F3" s="105" t="s">
        <v>18</v>
      </c>
      <c r="G3" s="105" t="s">
        <v>19</v>
      </c>
      <c r="H3" s="105" t="s">
        <v>20</v>
      </c>
      <c r="I3" s="105" t="s">
        <v>21</v>
      </c>
      <c r="J3" s="105" t="s">
        <v>22</v>
      </c>
      <c r="K3" s="105" t="s">
        <v>23</v>
      </c>
      <c r="L3" s="105" t="s">
        <v>24</v>
      </c>
      <c r="M3" s="105" t="s">
        <v>25</v>
      </c>
      <c r="N3" s="105" t="s">
        <v>26</v>
      </c>
      <c r="O3" s="105" t="s">
        <v>27</v>
      </c>
      <c r="P3" s="105" t="s">
        <v>28</v>
      </c>
      <c r="Q3" s="105" t="s">
        <v>29</v>
      </c>
      <c r="R3" s="105" t="s">
        <v>30</v>
      </c>
      <c r="S3" s="105" t="s">
        <v>31</v>
      </c>
      <c r="T3" s="105" t="s">
        <v>32</v>
      </c>
      <c r="U3" s="105" t="s">
        <v>33</v>
      </c>
      <c r="V3" s="105" t="s">
        <v>34</v>
      </c>
      <c r="W3" s="105" t="s">
        <v>35</v>
      </c>
      <c r="X3" s="106" t="s">
        <v>36</v>
      </c>
    </row>
    <row r="4" spans="2:27" x14ac:dyDescent="0.2">
      <c r="B4" s="231" t="s">
        <v>53</v>
      </c>
      <c r="C4" s="232"/>
      <c r="D4" s="108"/>
      <c r="E4" s="301" t="str">
        <f>IF('Pořízení a provozuschopnost ŽKV'!E4&lt;&gt;"",'Pořízení a provozuschopnost ŽKV'!E4,"---")</f>
        <v>S1B</v>
      </c>
      <c r="F4" s="301" t="str">
        <f>IF('Pořízení a provozuschopnost ŽKV'!F4&lt;&gt;"",'Pořízení a provozuschopnost ŽKV'!F4,"---")</f>
        <v>S5</v>
      </c>
      <c r="G4" s="301" t="str">
        <f>IF('Pořízení a provozuschopnost ŽKV'!G4&lt;&gt;"",'Pořízení a provozuschopnost ŽKV'!G4,"---")</f>
        <v>R63</v>
      </c>
      <c r="H4" s="301" t="str">
        <f>IF('Pořízení a provozuschopnost ŽKV'!H4&lt;&gt;"",'Pořízení a provozuschopnost ŽKV'!H4,"---")</f>
        <v>NEX</v>
      </c>
      <c r="I4" s="301" t="str">
        <f>IF('Pořízení a provozuschopnost ŽKV'!I4&lt;&gt;"",'Pořízení a provozuschopnost ŽKV'!I4,"---")</f>
        <v>PN</v>
      </c>
      <c r="J4" s="301" t="str">
        <f>IF('Pořízení a provozuschopnost ŽKV'!J4&lt;&gt;"",'Pořízení a provozuschopnost ŽKV'!J4,"---")</f>
        <v>---</v>
      </c>
      <c r="K4" s="301" t="str">
        <f>IF('Pořízení a provozuschopnost ŽKV'!K4&lt;&gt;"",'Pořízení a provozuschopnost ŽKV'!K4,"---")</f>
        <v>---</v>
      </c>
      <c r="L4" s="301" t="str">
        <f>IF('Pořízení a provozuschopnost ŽKV'!L4&lt;&gt;"",'Pořízení a provozuschopnost ŽKV'!L4,"---")</f>
        <v>---</v>
      </c>
      <c r="M4" s="301" t="str">
        <f>IF('Pořízení a provozuschopnost ŽKV'!M4&lt;&gt;"",'Pořízení a provozuschopnost ŽKV'!M4,"---")</f>
        <v>---</v>
      </c>
      <c r="N4" s="301" t="str">
        <f>IF('Pořízení a provozuschopnost ŽKV'!N4&lt;&gt;"",'Pořízení a provozuschopnost ŽKV'!N4,"---")</f>
        <v>---</v>
      </c>
      <c r="O4" s="301" t="str">
        <f>IF('Pořízení a provozuschopnost ŽKV'!O4&lt;&gt;"",'Pořízení a provozuschopnost ŽKV'!O4,"---")</f>
        <v>---</v>
      </c>
      <c r="P4" s="301" t="str">
        <f>IF('Pořízení a provozuschopnost ŽKV'!P4&lt;&gt;"",'Pořízení a provozuschopnost ŽKV'!P4,"---")</f>
        <v>---</v>
      </c>
      <c r="Q4" s="301" t="str">
        <f>IF('Pořízení a provozuschopnost ŽKV'!Q4&lt;&gt;"",'Pořízení a provozuschopnost ŽKV'!Q4,"---")</f>
        <v>---</v>
      </c>
      <c r="R4" s="301" t="str">
        <f>IF('Pořízení a provozuschopnost ŽKV'!R4&lt;&gt;"",'Pořízení a provozuschopnost ŽKV'!R4,"---")</f>
        <v>---</v>
      </c>
      <c r="S4" s="301" t="str">
        <f>IF('Pořízení a provozuschopnost ŽKV'!S4&lt;&gt;"",'Pořízení a provozuschopnost ŽKV'!S4,"---")</f>
        <v>---</v>
      </c>
      <c r="T4" s="301" t="str">
        <f>IF('Pořízení a provozuschopnost ŽKV'!T4&lt;&gt;"",'Pořízení a provozuschopnost ŽKV'!T4,"---")</f>
        <v>---</v>
      </c>
      <c r="U4" s="301" t="str">
        <f>IF('Pořízení a provozuschopnost ŽKV'!U4&lt;&gt;"",'Pořízení a provozuschopnost ŽKV'!U4,"---")</f>
        <v>---</v>
      </c>
      <c r="V4" s="301" t="str">
        <f>IF('Pořízení a provozuschopnost ŽKV'!V4&lt;&gt;"",'Pořízení a provozuschopnost ŽKV'!V4,"---")</f>
        <v>---</v>
      </c>
      <c r="W4" s="301" t="str">
        <f>IF('Pořízení a provozuschopnost ŽKV'!W4&lt;&gt;"",'Pořízení a provozuschopnost ŽKV'!W4,"---")</f>
        <v>---</v>
      </c>
      <c r="X4" s="302" t="str">
        <f>IF('Pořízení a provozuschopnost ŽKV'!X4&lt;&gt;"",'Pořízení a provozuschopnost ŽKV'!X4,"---")</f>
        <v>---</v>
      </c>
    </row>
    <row r="5" spans="2:27" x14ac:dyDescent="0.2">
      <c r="B5" s="14" t="s">
        <v>3</v>
      </c>
      <c r="C5" s="15"/>
      <c r="D5" s="303"/>
      <c r="E5" s="360" t="s">
        <v>139</v>
      </c>
      <c r="F5" s="360" t="s">
        <v>139</v>
      </c>
      <c r="G5" s="360" t="s">
        <v>139</v>
      </c>
      <c r="H5" s="360" t="s">
        <v>140</v>
      </c>
      <c r="I5" s="360" t="s">
        <v>140</v>
      </c>
      <c r="J5" s="360"/>
      <c r="K5" s="360"/>
      <c r="L5" s="360"/>
      <c r="M5" s="360"/>
      <c r="N5" s="360"/>
      <c r="O5" s="360"/>
      <c r="P5" s="360"/>
      <c r="Q5" s="360"/>
      <c r="R5" s="360"/>
      <c r="S5" s="360"/>
      <c r="T5" s="360"/>
      <c r="U5" s="360"/>
      <c r="V5" s="360"/>
      <c r="W5" s="360"/>
      <c r="X5" s="361"/>
    </row>
    <row r="6" spans="2:27" x14ac:dyDescent="0.2">
      <c r="B6" s="19" t="s">
        <v>10</v>
      </c>
      <c r="C6" s="20"/>
      <c r="D6" s="303"/>
      <c r="E6" s="360" t="s">
        <v>381</v>
      </c>
      <c r="F6" s="360" t="s">
        <v>381</v>
      </c>
      <c r="G6" s="360" t="s">
        <v>381</v>
      </c>
      <c r="H6" s="360" t="s">
        <v>381</v>
      </c>
      <c r="I6" s="360" t="s">
        <v>381</v>
      </c>
      <c r="J6" s="360"/>
      <c r="K6" s="360"/>
      <c r="L6" s="360"/>
      <c r="M6" s="360"/>
      <c r="N6" s="360"/>
      <c r="O6" s="360"/>
      <c r="P6" s="360"/>
      <c r="Q6" s="360"/>
      <c r="R6" s="360"/>
      <c r="S6" s="360"/>
      <c r="T6" s="360"/>
      <c r="U6" s="360"/>
      <c r="V6" s="360"/>
      <c r="W6" s="360"/>
      <c r="X6" s="361"/>
    </row>
    <row r="7" spans="2:27" x14ac:dyDescent="0.2">
      <c r="B7" s="14" t="s">
        <v>310</v>
      </c>
      <c r="C7" s="20"/>
      <c r="D7" s="303"/>
      <c r="E7" s="360" t="s">
        <v>311</v>
      </c>
      <c r="F7" s="360" t="s">
        <v>311</v>
      </c>
      <c r="G7" s="360" t="s">
        <v>311</v>
      </c>
      <c r="H7" s="360" t="s">
        <v>311</v>
      </c>
      <c r="I7" s="360" t="s">
        <v>311</v>
      </c>
      <c r="J7" s="360"/>
      <c r="K7" s="360"/>
      <c r="L7" s="360"/>
      <c r="M7" s="360"/>
      <c r="N7" s="360"/>
      <c r="O7" s="360"/>
      <c r="P7" s="360"/>
      <c r="Q7" s="360"/>
      <c r="R7" s="360"/>
      <c r="S7" s="360"/>
      <c r="T7" s="360"/>
      <c r="U7" s="360"/>
      <c r="V7" s="360"/>
      <c r="W7" s="360"/>
      <c r="X7" s="361"/>
    </row>
    <row r="8" spans="2:27" ht="13.5" thickBot="1" x14ac:dyDescent="0.25">
      <c r="B8" s="304" t="s">
        <v>11</v>
      </c>
      <c r="C8" s="27"/>
      <c r="D8" s="305" t="s">
        <v>13</v>
      </c>
      <c r="E8" s="362">
        <v>320</v>
      </c>
      <c r="F8" s="362">
        <v>320</v>
      </c>
      <c r="G8" s="362">
        <v>320</v>
      </c>
      <c r="H8" s="362">
        <v>820</v>
      </c>
      <c r="I8" s="362">
        <v>820</v>
      </c>
      <c r="J8" s="362"/>
      <c r="K8" s="362"/>
      <c r="L8" s="362"/>
      <c r="M8" s="362"/>
      <c r="N8" s="362"/>
      <c r="O8" s="362"/>
      <c r="P8" s="362"/>
      <c r="Q8" s="362"/>
      <c r="R8" s="362"/>
      <c r="S8" s="362"/>
      <c r="T8" s="362"/>
      <c r="U8" s="362"/>
      <c r="V8" s="362"/>
      <c r="W8" s="362"/>
      <c r="X8" s="363"/>
    </row>
    <row r="9" spans="2:27" x14ac:dyDescent="0.2">
      <c r="B9" s="32"/>
      <c r="C9" s="32"/>
      <c r="D9" s="35"/>
      <c r="E9" s="34"/>
      <c r="F9" s="34"/>
      <c r="G9" s="34"/>
      <c r="H9" s="34"/>
      <c r="I9" s="34"/>
      <c r="J9" s="34"/>
      <c r="K9" s="34"/>
      <c r="L9" s="34"/>
      <c r="M9" s="34"/>
      <c r="N9" s="34"/>
      <c r="O9" s="34"/>
      <c r="P9" s="34"/>
      <c r="Q9" s="34"/>
      <c r="R9" s="34"/>
      <c r="S9" s="34"/>
      <c r="T9" s="34"/>
      <c r="U9" s="34"/>
      <c r="V9" s="34"/>
      <c r="W9" s="34"/>
      <c r="X9" s="34"/>
      <c r="Y9" s="100"/>
    </row>
    <row r="10" spans="2:27" ht="13.5" thickBot="1" x14ac:dyDescent="0.25">
      <c r="B10" s="1" t="s">
        <v>386</v>
      </c>
      <c r="C10" s="32"/>
      <c r="D10" s="35"/>
      <c r="E10" s="306"/>
      <c r="F10" s="306"/>
      <c r="G10" s="306"/>
      <c r="H10" s="306"/>
      <c r="I10" s="306"/>
      <c r="J10" s="306"/>
      <c r="K10" s="306"/>
      <c r="L10" s="306"/>
      <c r="M10" s="306"/>
      <c r="N10" s="306"/>
      <c r="O10" s="306"/>
      <c r="P10" s="306"/>
      <c r="Q10" s="306"/>
      <c r="R10" s="306"/>
      <c r="S10" s="306"/>
      <c r="T10" s="306"/>
      <c r="U10" s="306"/>
      <c r="V10" s="306"/>
      <c r="W10" s="306"/>
      <c r="X10" s="306"/>
      <c r="Y10" s="100"/>
      <c r="Z10" s="100"/>
      <c r="AA10" s="100"/>
    </row>
    <row r="11" spans="2:27" x14ac:dyDescent="0.2">
      <c r="B11" s="234" t="s">
        <v>297</v>
      </c>
      <c r="C11" s="307"/>
      <c r="D11" s="308" t="s">
        <v>155</v>
      </c>
      <c r="E11" s="364">
        <v>21.5</v>
      </c>
      <c r="F11" s="364">
        <v>21.5</v>
      </c>
      <c r="G11" s="364">
        <v>21.5</v>
      </c>
      <c r="H11" s="365">
        <v>21.5</v>
      </c>
      <c r="I11" s="365">
        <v>21.5</v>
      </c>
      <c r="J11" s="365"/>
      <c r="K11" s="365"/>
      <c r="L11" s="365"/>
      <c r="M11" s="365"/>
      <c r="N11" s="365"/>
      <c r="O11" s="365"/>
      <c r="P11" s="365"/>
      <c r="Q11" s="365"/>
      <c r="R11" s="365"/>
      <c r="S11" s="365"/>
      <c r="T11" s="365"/>
      <c r="U11" s="365"/>
      <c r="V11" s="365"/>
      <c r="W11" s="365"/>
      <c r="X11" s="366"/>
      <c r="Y11" s="100"/>
      <c r="Z11" s="100"/>
      <c r="AA11" s="100"/>
    </row>
    <row r="12" spans="2:27" x14ac:dyDescent="0.2">
      <c r="B12" s="14" t="s">
        <v>366</v>
      </c>
      <c r="C12" s="15" t="s">
        <v>355</v>
      </c>
      <c r="D12" s="309" t="s">
        <v>14</v>
      </c>
      <c r="E12" s="367"/>
      <c r="F12" s="367"/>
      <c r="G12" s="367"/>
      <c r="H12" s="367"/>
      <c r="I12" s="367"/>
      <c r="J12" s="367"/>
      <c r="K12" s="367"/>
      <c r="L12" s="367"/>
      <c r="M12" s="367"/>
      <c r="N12" s="367"/>
      <c r="O12" s="367"/>
      <c r="P12" s="367"/>
      <c r="Q12" s="367"/>
      <c r="R12" s="367"/>
      <c r="S12" s="367"/>
      <c r="T12" s="367"/>
      <c r="U12" s="367"/>
      <c r="V12" s="367"/>
      <c r="W12" s="367"/>
      <c r="X12" s="368"/>
      <c r="Y12" s="100"/>
      <c r="Z12" s="100"/>
      <c r="AA12" s="100"/>
    </row>
    <row r="13" spans="2:27" x14ac:dyDescent="0.2">
      <c r="B13" s="19"/>
      <c r="C13" s="15" t="s">
        <v>356</v>
      </c>
      <c r="D13" s="309" t="s">
        <v>14</v>
      </c>
      <c r="E13" s="369"/>
      <c r="F13" s="367"/>
      <c r="G13" s="367"/>
      <c r="H13" s="367"/>
      <c r="I13" s="367"/>
      <c r="J13" s="367"/>
      <c r="K13" s="367"/>
      <c r="L13" s="367"/>
      <c r="M13" s="367"/>
      <c r="N13" s="367"/>
      <c r="O13" s="367"/>
      <c r="P13" s="367"/>
      <c r="Q13" s="367"/>
      <c r="R13" s="367"/>
      <c r="S13" s="367"/>
      <c r="T13" s="367"/>
      <c r="U13" s="367"/>
      <c r="V13" s="367"/>
      <c r="W13" s="367"/>
      <c r="X13" s="368"/>
      <c r="Y13" s="100"/>
      <c r="Z13" s="100"/>
      <c r="AA13" s="100"/>
    </row>
    <row r="14" spans="2:27" x14ac:dyDescent="0.2">
      <c r="B14" s="14"/>
      <c r="C14" s="15" t="s">
        <v>357</v>
      </c>
      <c r="D14" s="309" t="s">
        <v>14</v>
      </c>
      <c r="E14" s="369">
        <v>12</v>
      </c>
      <c r="F14" s="367">
        <v>12</v>
      </c>
      <c r="G14" s="367">
        <v>12</v>
      </c>
      <c r="H14" s="367">
        <v>12</v>
      </c>
      <c r="I14" s="367">
        <v>12</v>
      </c>
      <c r="J14" s="367"/>
      <c r="K14" s="367"/>
      <c r="L14" s="367"/>
      <c r="M14" s="367"/>
      <c r="N14" s="367"/>
      <c r="O14" s="367"/>
      <c r="P14" s="367"/>
      <c r="Q14" s="367"/>
      <c r="R14" s="367"/>
      <c r="S14" s="367"/>
      <c r="T14" s="367"/>
      <c r="U14" s="367"/>
      <c r="V14" s="367"/>
      <c r="W14" s="367"/>
      <c r="X14" s="368"/>
      <c r="Y14" s="100"/>
      <c r="Z14" s="100"/>
      <c r="AA14" s="100"/>
    </row>
    <row r="15" spans="2:27" x14ac:dyDescent="0.2">
      <c r="B15" s="14"/>
      <c r="C15" s="15" t="s">
        <v>358</v>
      </c>
      <c r="D15" s="309" t="s">
        <v>14</v>
      </c>
      <c r="E15" s="369"/>
      <c r="F15" s="367"/>
      <c r="G15" s="367"/>
      <c r="H15" s="367"/>
      <c r="I15" s="367"/>
      <c r="J15" s="367"/>
      <c r="K15" s="367"/>
      <c r="L15" s="367"/>
      <c r="M15" s="367"/>
      <c r="N15" s="367"/>
      <c r="O15" s="367"/>
      <c r="P15" s="367"/>
      <c r="Q15" s="367"/>
      <c r="R15" s="367"/>
      <c r="S15" s="367"/>
      <c r="T15" s="367"/>
      <c r="U15" s="367"/>
      <c r="V15" s="367"/>
      <c r="W15" s="367"/>
      <c r="X15" s="368"/>
      <c r="Y15" s="100"/>
      <c r="Z15" s="100"/>
      <c r="AA15" s="100"/>
    </row>
    <row r="16" spans="2:27" x14ac:dyDescent="0.2">
      <c r="B16" s="81"/>
      <c r="C16" s="233" t="s">
        <v>359</v>
      </c>
      <c r="D16" s="310" t="s">
        <v>14</v>
      </c>
      <c r="E16" s="370"/>
      <c r="F16" s="371"/>
      <c r="G16" s="371"/>
      <c r="H16" s="371"/>
      <c r="I16" s="371"/>
      <c r="J16" s="371"/>
      <c r="K16" s="371"/>
      <c r="L16" s="371"/>
      <c r="M16" s="371"/>
      <c r="N16" s="371"/>
      <c r="O16" s="371"/>
      <c r="P16" s="371"/>
      <c r="Q16" s="371"/>
      <c r="R16" s="371"/>
      <c r="S16" s="371"/>
      <c r="T16" s="371"/>
      <c r="U16" s="371"/>
      <c r="V16" s="371"/>
      <c r="W16" s="371"/>
      <c r="X16" s="372"/>
      <c r="Y16" s="100"/>
      <c r="Z16" s="100"/>
      <c r="AA16" s="100"/>
    </row>
    <row r="17" spans="2:27" x14ac:dyDescent="0.2">
      <c r="B17" s="14" t="s">
        <v>363</v>
      </c>
      <c r="C17" s="15"/>
      <c r="D17" s="311" t="s">
        <v>360</v>
      </c>
      <c r="E17" s="373">
        <v>1</v>
      </c>
      <c r="F17" s="373">
        <v>1</v>
      </c>
      <c r="G17" s="374">
        <v>1</v>
      </c>
      <c r="H17" s="374">
        <v>1</v>
      </c>
      <c r="I17" s="374">
        <v>1</v>
      </c>
      <c r="J17" s="374"/>
      <c r="K17" s="374"/>
      <c r="L17" s="374"/>
      <c r="M17" s="373"/>
      <c r="N17" s="373"/>
      <c r="O17" s="373"/>
      <c r="P17" s="373"/>
      <c r="Q17" s="373"/>
      <c r="R17" s="373"/>
      <c r="S17" s="373"/>
      <c r="T17" s="373"/>
      <c r="U17" s="373"/>
      <c r="V17" s="373"/>
      <c r="W17" s="373"/>
      <c r="X17" s="375"/>
      <c r="Y17" s="100"/>
      <c r="Z17" s="100"/>
      <c r="AA17" s="100"/>
    </row>
    <row r="18" spans="2:27" x14ac:dyDescent="0.2">
      <c r="B18" s="14" t="s">
        <v>361</v>
      </c>
      <c r="C18" s="15"/>
      <c r="D18" s="311" t="s">
        <v>364</v>
      </c>
      <c r="E18" s="373">
        <v>0.94</v>
      </c>
      <c r="F18" s="373">
        <v>0.94</v>
      </c>
      <c r="G18" s="373">
        <v>0.94</v>
      </c>
      <c r="H18" s="373">
        <v>6.88</v>
      </c>
      <c r="I18" s="373">
        <v>5.37</v>
      </c>
      <c r="J18" s="373"/>
      <c r="K18" s="373"/>
      <c r="L18" s="373"/>
      <c r="M18" s="373"/>
      <c r="N18" s="373"/>
      <c r="O18" s="373"/>
      <c r="P18" s="373"/>
      <c r="Q18" s="373"/>
      <c r="R18" s="373"/>
      <c r="S18" s="373"/>
      <c r="T18" s="373"/>
      <c r="U18" s="373"/>
      <c r="V18" s="373"/>
      <c r="W18" s="373"/>
      <c r="X18" s="375"/>
      <c r="Y18" s="100"/>
      <c r="Z18" s="100"/>
      <c r="AA18" s="100"/>
    </row>
    <row r="19" spans="2:27" x14ac:dyDescent="0.2">
      <c r="B19" s="81" t="s">
        <v>362</v>
      </c>
      <c r="C19" s="233"/>
      <c r="D19" s="312" t="s">
        <v>365</v>
      </c>
      <c r="E19" s="376">
        <v>0.95</v>
      </c>
      <c r="F19" s="377">
        <v>0.95</v>
      </c>
      <c r="G19" s="377">
        <v>0.95</v>
      </c>
      <c r="H19" s="377">
        <v>0.95</v>
      </c>
      <c r="I19" s="377">
        <v>0.95</v>
      </c>
      <c r="J19" s="377"/>
      <c r="K19" s="377"/>
      <c r="L19" s="377"/>
      <c r="M19" s="377"/>
      <c r="N19" s="377"/>
      <c r="O19" s="377"/>
      <c r="P19" s="377"/>
      <c r="Q19" s="377"/>
      <c r="R19" s="377"/>
      <c r="S19" s="377"/>
      <c r="T19" s="377"/>
      <c r="U19" s="377"/>
      <c r="V19" s="377"/>
      <c r="W19" s="377"/>
      <c r="X19" s="378"/>
      <c r="Y19" s="100"/>
      <c r="Z19" s="100"/>
      <c r="AA19" s="100"/>
    </row>
    <row r="20" spans="2:27" x14ac:dyDescent="0.2">
      <c r="B20" s="313" t="s">
        <v>12</v>
      </c>
      <c r="C20" s="314"/>
      <c r="D20" s="309" t="s">
        <v>16</v>
      </c>
      <c r="E20" s="315">
        <f t="shared" ref="E20:L20" si="0">IF(((E11*E17*E18*E19)*((E12*$L$41)+(E13*$L$42)+(E14*$L$43)+(E15*$L$44)+(E16*$L$45)))&gt;0,(E11*E17*E18*E19)*((E12*$L$41)+(E13*$L$42)+(E14*$L$43)+(E15*$L$44)+(E16*$L$45)),"-")</f>
        <v>230.39399999999995</v>
      </c>
      <c r="F20" s="315">
        <f t="shared" si="0"/>
        <v>230.39399999999995</v>
      </c>
      <c r="G20" s="315">
        <f t="shared" si="0"/>
        <v>230.39399999999995</v>
      </c>
      <c r="H20" s="315">
        <f t="shared" si="0"/>
        <v>1686.2879999999996</v>
      </c>
      <c r="I20" s="315">
        <f t="shared" si="0"/>
        <v>1316.1869999999999</v>
      </c>
      <c r="J20" s="315" t="str">
        <f t="shared" si="0"/>
        <v>-</v>
      </c>
      <c r="K20" s="315" t="str">
        <f t="shared" si="0"/>
        <v>-</v>
      </c>
      <c r="L20" s="315" t="str">
        <f t="shared" si="0"/>
        <v>-</v>
      </c>
      <c r="M20" s="315" t="str">
        <f t="shared" ref="M20:X20" si="1">IF(((M11*M17*M18*M19)*((M12*$L$41)+(M13*$L$42)+(M14*$L$43)+(M15*$L$44)+(M16*$L$45)))&gt;0,(M11*M17*M18*M19)*((M12*$L$41)+(M13*$L$42)+(M14*$L$43)+(M15*$L$44)+(M16*$L$45)),"-")</f>
        <v>-</v>
      </c>
      <c r="N20" s="315" t="str">
        <f t="shared" si="1"/>
        <v>-</v>
      </c>
      <c r="O20" s="315" t="str">
        <f t="shared" si="1"/>
        <v>-</v>
      </c>
      <c r="P20" s="315" t="str">
        <f t="shared" si="1"/>
        <v>-</v>
      </c>
      <c r="Q20" s="315" t="str">
        <f t="shared" si="1"/>
        <v>-</v>
      </c>
      <c r="R20" s="315" t="str">
        <f t="shared" si="1"/>
        <v>-</v>
      </c>
      <c r="S20" s="315" t="str">
        <f t="shared" si="1"/>
        <v>-</v>
      </c>
      <c r="T20" s="315" t="str">
        <f t="shared" si="1"/>
        <v>-</v>
      </c>
      <c r="U20" s="315" t="str">
        <f t="shared" si="1"/>
        <v>-</v>
      </c>
      <c r="V20" s="315" t="str">
        <f t="shared" si="1"/>
        <v>-</v>
      </c>
      <c r="W20" s="315" t="str">
        <f t="shared" si="1"/>
        <v>-</v>
      </c>
      <c r="X20" s="316" t="str">
        <f t="shared" si="1"/>
        <v>-</v>
      </c>
      <c r="Y20" s="100"/>
      <c r="Z20" s="100"/>
      <c r="AA20" s="100"/>
    </row>
    <row r="21" spans="2:27" ht="13.5" thickBot="1" x14ac:dyDescent="0.25">
      <c r="B21" s="240" t="s">
        <v>146</v>
      </c>
      <c r="C21" s="317"/>
      <c r="D21" s="318" t="s">
        <v>145</v>
      </c>
      <c r="E21" s="319">
        <f>IF((SUM(E12:E16)&gt;0),E20/SUM(E12:E16),"-")</f>
        <v>19.199499999999997</v>
      </c>
      <c r="F21" s="319">
        <f t="shared" ref="F21:P21" si="2">IF((SUM(F12:F16)&gt;0),F20/SUM(F12:F16),"-")</f>
        <v>19.199499999999997</v>
      </c>
      <c r="G21" s="319">
        <f t="shared" si="2"/>
        <v>19.199499999999997</v>
      </c>
      <c r="H21" s="319">
        <f t="shared" si="2"/>
        <v>140.52399999999997</v>
      </c>
      <c r="I21" s="319">
        <f t="shared" si="2"/>
        <v>109.68225</v>
      </c>
      <c r="J21" s="319" t="str">
        <f t="shared" si="2"/>
        <v>-</v>
      </c>
      <c r="K21" s="319" t="str">
        <f t="shared" si="2"/>
        <v>-</v>
      </c>
      <c r="L21" s="319" t="str">
        <f t="shared" si="2"/>
        <v>-</v>
      </c>
      <c r="M21" s="319" t="str">
        <f t="shared" si="2"/>
        <v>-</v>
      </c>
      <c r="N21" s="319" t="str">
        <f t="shared" si="2"/>
        <v>-</v>
      </c>
      <c r="O21" s="319" t="str">
        <f t="shared" si="2"/>
        <v>-</v>
      </c>
      <c r="P21" s="319" t="str">
        <f t="shared" si="2"/>
        <v>-</v>
      </c>
      <c r="Q21" s="319" t="str">
        <f t="shared" ref="Q21:X21" si="3">IF((SUM(Q12:Q16)&gt;0),Q20/SUM(Q12:Q16),"-")</f>
        <v>-</v>
      </c>
      <c r="R21" s="319" t="str">
        <f t="shared" si="3"/>
        <v>-</v>
      </c>
      <c r="S21" s="319" t="str">
        <f t="shared" si="3"/>
        <v>-</v>
      </c>
      <c r="T21" s="319" t="str">
        <f t="shared" si="3"/>
        <v>-</v>
      </c>
      <c r="U21" s="319" t="str">
        <f t="shared" si="3"/>
        <v>-</v>
      </c>
      <c r="V21" s="319" t="str">
        <f t="shared" si="3"/>
        <v>-</v>
      </c>
      <c r="W21" s="319" t="str">
        <f t="shared" si="3"/>
        <v>-</v>
      </c>
      <c r="X21" s="320" t="str">
        <f t="shared" si="3"/>
        <v>-</v>
      </c>
      <c r="Y21" s="100"/>
      <c r="Z21" s="100"/>
      <c r="AA21" s="100"/>
    </row>
    <row r="22" spans="2:27" x14ac:dyDescent="0.2">
      <c r="B22" s="31"/>
      <c r="C22" s="32"/>
      <c r="D22" s="33"/>
      <c r="E22" s="306"/>
      <c r="F22" s="306"/>
      <c r="G22" s="306"/>
      <c r="H22" s="306"/>
      <c r="I22" s="306"/>
      <c r="J22" s="306"/>
      <c r="K22" s="306"/>
      <c r="L22" s="306"/>
      <c r="M22" s="306"/>
      <c r="N22" s="306"/>
      <c r="O22" s="306"/>
      <c r="P22" s="306"/>
      <c r="Q22" s="306"/>
      <c r="R22" s="306"/>
      <c r="S22" s="306"/>
      <c r="T22" s="306"/>
      <c r="U22" s="306"/>
      <c r="V22" s="306"/>
      <c r="W22" s="306"/>
      <c r="X22" s="306"/>
      <c r="Y22" s="100"/>
      <c r="Z22" s="100"/>
      <c r="AA22" s="100"/>
    </row>
    <row r="23" spans="2:27" ht="13.5" thickBot="1" x14ac:dyDescent="0.25">
      <c r="B23" s="1" t="s">
        <v>278</v>
      </c>
      <c r="C23" s="32"/>
      <c r="D23" s="35"/>
      <c r="E23" s="32"/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</row>
    <row r="24" spans="2:27" x14ac:dyDescent="0.2">
      <c r="B24" s="321" t="s">
        <v>134</v>
      </c>
      <c r="C24" s="322"/>
      <c r="D24" s="323"/>
      <c r="E24" s="379">
        <v>3</v>
      </c>
      <c r="F24" s="379">
        <v>3</v>
      </c>
      <c r="G24" s="379">
        <v>3</v>
      </c>
      <c r="H24" s="379">
        <v>1</v>
      </c>
      <c r="I24" s="379">
        <v>2</v>
      </c>
      <c r="J24" s="379">
        <v>1</v>
      </c>
      <c r="K24" s="379">
        <v>3</v>
      </c>
      <c r="L24" s="379">
        <v>1</v>
      </c>
      <c r="M24" s="379">
        <v>1</v>
      </c>
      <c r="N24" s="379">
        <v>3</v>
      </c>
      <c r="O24" s="379">
        <v>2</v>
      </c>
      <c r="P24" s="379">
        <v>1</v>
      </c>
      <c r="Q24" s="379">
        <v>1</v>
      </c>
      <c r="R24" s="379">
        <v>1</v>
      </c>
      <c r="S24" s="379">
        <v>1</v>
      </c>
      <c r="T24" s="379">
        <v>1</v>
      </c>
      <c r="U24" s="379">
        <v>1</v>
      </c>
      <c r="V24" s="379">
        <v>1</v>
      </c>
      <c r="W24" s="379">
        <v>1</v>
      </c>
      <c r="X24" s="380">
        <v>1</v>
      </c>
    </row>
    <row r="25" spans="2:27" x14ac:dyDescent="0.2">
      <c r="B25" s="313" t="s">
        <v>133</v>
      </c>
      <c r="C25" s="324"/>
      <c r="D25" s="325"/>
      <c r="E25" s="381">
        <v>2</v>
      </c>
      <c r="F25" s="381">
        <v>2</v>
      </c>
      <c r="G25" s="381">
        <v>2</v>
      </c>
      <c r="H25" s="381">
        <v>2</v>
      </c>
      <c r="I25" s="381">
        <v>2</v>
      </c>
      <c r="J25" s="381">
        <v>1</v>
      </c>
      <c r="K25" s="381">
        <v>2</v>
      </c>
      <c r="L25" s="381">
        <v>3</v>
      </c>
      <c r="M25" s="381">
        <v>1</v>
      </c>
      <c r="N25" s="381">
        <v>2</v>
      </c>
      <c r="O25" s="381">
        <v>2</v>
      </c>
      <c r="P25" s="381">
        <v>1</v>
      </c>
      <c r="Q25" s="381">
        <v>1</v>
      </c>
      <c r="R25" s="381">
        <v>1</v>
      </c>
      <c r="S25" s="381">
        <v>1</v>
      </c>
      <c r="T25" s="381">
        <v>1</v>
      </c>
      <c r="U25" s="381">
        <v>1</v>
      </c>
      <c r="V25" s="381">
        <v>1</v>
      </c>
      <c r="W25" s="381">
        <v>1</v>
      </c>
      <c r="X25" s="382">
        <v>1</v>
      </c>
    </row>
    <row r="26" spans="2:27" x14ac:dyDescent="0.2">
      <c r="B26" s="313" t="s">
        <v>238</v>
      </c>
      <c r="C26" s="324"/>
      <c r="D26" s="325"/>
      <c r="E26" s="383">
        <v>4</v>
      </c>
      <c r="F26" s="383">
        <v>4</v>
      </c>
      <c r="G26" s="383">
        <v>4</v>
      </c>
      <c r="H26" s="383">
        <v>3</v>
      </c>
      <c r="I26" s="383">
        <v>3</v>
      </c>
      <c r="J26" s="383">
        <v>4</v>
      </c>
      <c r="K26" s="383">
        <v>3</v>
      </c>
      <c r="L26" s="383">
        <v>6</v>
      </c>
      <c r="M26" s="383">
        <v>1</v>
      </c>
      <c r="N26" s="383">
        <v>1</v>
      </c>
      <c r="O26" s="383">
        <v>3</v>
      </c>
      <c r="P26" s="383">
        <v>4</v>
      </c>
      <c r="Q26" s="383">
        <v>4</v>
      </c>
      <c r="R26" s="383">
        <v>1</v>
      </c>
      <c r="S26" s="383">
        <v>1</v>
      </c>
      <c r="T26" s="383">
        <v>1</v>
      </c>
      <c r="U26" s="383">
        <v>1</v>
      </c>
      <c r="V26" s="383">
        <v>1</v>
      </c>
      <c r="W26" s="383">
        <v>1</v>
      </c>
      <c r="X26" s="384">
        <v>1</v>
      </c>
    </row>
    <row r="27" spans="2:27" x14ac:dyDescent="0.2">
      <c r="B27" s="14" t="s">
        <v>242</v>
      </c>
      <c r="C27" s="20"/>
      <c r="D27" s="303"/>
      <c r="E27" s="326">
        <f>IF(AND(E5=DATA!$B$27,OR(E6=DATA!$C$28,E6=DATA!$C$29,E6=DATA!$C$30)),1,IF(AND(E5=DATA!$B$27,E6=DATA!$C$27),2,IF(AND(E5=DATA!$B$28,OR(E6=DATA!$C$28,E6=DATA!$C$29,E6=DATA!$C$30)),3,IF(AND(E5=DATA!$B$28,E6=DATA!$C$27),4,5))))</f>
        <v>1</v>
      </c>
      <c r="F27" s="326">
        <f>IF(AND(F5=DATA!$B$27,OR(F6=DATA!$C$28,F6=DATA!$C$29,F6=DATA!$C$30)),1,IF(AND(F5=DATA!$B$27,F6=DATA!$C$27),2,IF(AND(F5=DATA!$B$28,OR(F6=DATA!$C$28,F6=DATA!$C$29,F6=DATA!$C$30)),3,IF(AND(F5=DATA!$B$28,F6=DATA!$C$27),4,5))))</f>
        <v>1</v>
      </c>
      <c r="G27" s="326">
        <f>IF(AND(G5=DATA!$B$27,OR(G6=DATA!$C$28,G6=DATA!$C$29,G6=DATA!$C$30)),1,IF(AND(G5=DATA!$B$27,G6=DATA!$C$27),2,IF(AND(G5=DATA!$B$28,OR(G6=DATA!$C$28,G6=DATA!$C$29,G6=DATA!$C$30)),3,IF(AND(G5=DATA!$B$28,G6=DATA!$C$27),4,5))))</f>
        <v>1</v>
      </c>
      <c r="H27" s="326">
        <f>IF(AND(H5=DATA!$B$27,OR(H6=DATA!$C$28,H6=DATA!$C$29,H6=DATA!$C$30)),1,IF(AND(H5=DATA!$B$27,H6=DATA!$C$27),2,IF(AND(H5=DATA!$B$28,OR(H6=DATA!$C$28,H6=DATA!$C$29,H6=DATA!$C$30)),3,IF(AND(H5=DATA!$B$28,H6=DATA!$C$27),4,5))))</f>
        <v>3</v>
      </c>
      <c r="I27" s="326">
        <f>IF(AND(I5=DATA!$B$27,OR(I6=DATA!$C$28,I6=DATA!$C$29,I6=DATA!$C$30)),1,IF(AND(I5=DATA!$B$27,I6=DATA!$C$27),2,IF(AND(I5=DATA!$B$28,OR(I6=DATA!$C$28,I6=DATA!$C$29,I6=DATA!$C$30)),3,IF(AND(I5=DATA!$B$28,I6=DATA!$C$27),4,5))))</f>
        <v>3</v>
      </c>
      <c r="J27" s="326">
        <f>IF(AND(J5=DATA!$B$27,OR(J6=DATA!$C$28,J6=DATA!$C$29,J6=DATA!$C$30)),1,IF(AND(J5=DATA!$B$27,J6=DATA!$C$27),2,IF(AND(J5=DATA!$B$28,OR(J6=DATA!$C$28,J6=DATA!$C$29,J6=DATA!$C$30)),3,IF(AND(J5=DATA!$B$28,J6=DATA!$C$27),4,5))))</f>
        <v>5</v>
      </c>
      <c r="K27" s="326">
        <f>IF(AND(K5=DATA!$B$27,OR(K6=DATA!$C$28,K6=DATA!$C$29,K6=DATA!$C$30)),1,IF(AND(K5=DATA!$B$27,K6=DATA!$C$27),2,IF(AND(K5=DATA!$B$28,OR(K6=DATA!$C$28,K6=DATA!$C$29,K6=DATA!$C$30)),3,IF(AND(K5=DATA!$B$28,K6=DATA!$C$27),4,5))))</f>
        <v>5</v>
      </c>
      <c r="L27" s="326">
        <f>IF(AND(L5=DATA!$B$27,OR(L6=DATA!$C$28,L6=DATA!$C$29,L6=DATA!$C$30)),1,IF(AND(L5=DATA!$B$27,L6=DATA!$C$27),2,IF(AND(L5=DATA!$B$28,OR(L6=DATA!$C$28,L6=DATA!$C$29,L6=DATA!$C$30)),3,IF(AND(L5=DATA!$B$28,L6=DATA!$C$27),4,5))))</f>
        <v>5</v>
      </c>
      <c r="M27" s="326">
        <f>IF(AND(M5=DATA!$B$27,OR(M6=DATA!$C$28,M6=DATA!$C$29,M6=DATA!$C$30)),1,IF(AND(M5=DATA!$B$27,M6=DATA!$C$27),2,IF(AND(M5=DATA!$B$28,OR(M6=DATA!$C$28,M6=DATA!$C$29,M6=DATA!$C$30)),3,IF(AND(M5=DATA!$B$28,M6=DATA!$C$27),4,5))))</f>
        <v>5</v>
      </c>
      <c r="N27" s="326">
        <f>IF(AND(N5=DATA!$B$27,OR(N6=DATA!$C$28,N6=DATA!$C$29,N6=DATA!$C$30)),1,IF(AND(N5=DATA!$B$27,N6=DATA!$C$27),2,IF(AND(N5=DATA!$B$28,OR(N6=DATA!$C$28,N6=DATA!$C$29,N6=DATA!$C$30)),3,IF(AND(N5=DATA!$B$28,N6=DATA!$C$27),4,5))))</f>
        <v>5</v>
      </c>
      <c r="O27" s="326">
        <f>IF(AND(O5=DATA!$B$27,OR(O6=DATA!$C$28,O6=DATA!$C$29,O6=DATA!$C$30)),1,IF(AND(O5=DATA!$B$27,O6=DATA!$C$27),2,IF(AND(O5=DATA!$B$28,OR(O6=DATA!$C$28,O6=DATA!$C$29,O6=DATA!$C$30)),3,IF(AND(O5=DATA!$B$28,O6=DATA!$C$27),4,5))))</f>
        <v>5</v>
      </c>
      <c r="P27" s="326">
        <f>IF(AND(P5=DATA!$B$27,OR(P6=DATA!$C$28,P6=DATA!$C$29,P6=DATA!$C$30)),1,IF(AND(P5=DATA!$B$27,P6=DATA!$C$27),2,IF(AND(P5=DATA!$B$28,OR(P6=DATA!$C$28,P6=DATA!$C$29,P6=DATA!$C$30)),3,IF(AND(P5=DATA!$B$28,P6=DATA!$C$27),4,5))))</f>
        <v>5</v>
      </c>
      <c r="Q27" s="326">
        <f>IF(AND(Q5=DATA!$B$27,OR(Q6=DATA!$C$28,Q6=DATA!$C$29,Q6=DATA!$C$30)),1,IF(AND(Q5=DATA!$B$27,Q6=DATA!$C$27),2,IF(AND(Q5=DATA!$B$28,OR(Q6=DATA!$C$28,Q6=DATA!$C$29,Q6=DATA!$C$30)),3,IF(AND(Q5=DATA!$B$28,Q6=DATA!$C$27),4,5))))</f>
        <v>5</v>
      </c>
      <c r="R27" s="326">
        <f>IF(AND(R5=DATA!$B$27,OR(R6=DATA!$C$28,R6=DATA!$C$29,R6=DATA!$C$30)),1,IF(AND(R5=DATA!$B$27,R6=DATA!$C$27),2,IF(AND(R5=DATA!$B$28,OR(R6=DATA!$C$28,R6=DATA!$C$29,R6=DATA!$C$30)),3,IF(AND(R5=DATA!$B$28,R6=DATA!$C$27),4,5))))</f>
        <v>5</v>
      </c>
      <c r="S27" s="326">
        <f>IF(AND(S5=DATA!$B$27,OR(S6=DATA!$C$28,S6=DATA!$C$29,S6=DATA!$C$30)),1,IF(AND(S5=DATA!$B$27,S6=DATA!$C$27),2,IF(AND(S5=DATA!$B$28,OR(S6=DATA!$C$28,S6=DATA!$C$29,S6=DATA!$C$30)),3,IF(AND(S5=DATA!$B$28,S6=DATA!$C$27),4,5))))</f>
        <v>5</v>
      </c>
      <c r="T27" s="326">
        <f>IF(AND(T5=DATA!$B$27,OR(T6=DATA!$C$28,T6=DATA!$C$29,T6=DATA!$C$30)),1,IF(AND(T5=DATA!$B$27,T6=DATA!$C$27),2,IF(AND(T5=DATA!$B$28,OR(T6=DATA!$C$28,T6=DATA!$C$29,T6=DATA!$C$30)),3,IF(AND(T5=DATA!$B$28,T6=DATA!$C$27),4,5))))</f>
        <v>5</v>
      </c>
      <c r="U27" s="326">
        <f>IF(AND(U5=DATA!$B$27,OR(U6=DATA!$C$28,U6=DATA!$C$29,U6=DATA!$C$30)),1,IF(AND(U5=DATA!$B$27,U6=DATA!$C$27),2,IF(AND(U5=DATA!$B$28,OR(U6=DATA!$C$28,U6=DATA!$C$29,U6=DATA!$C$30)),3,IF(AND(U5=DATA!$B$28,U6=DATA!$C$27),4,5))))</f>
        <v>5</v>
      </c>
      <c r="V27" s="326">
        <f>IF(AND(V5=DATA!$B$27,OR(V6=DATA!$C$28,V6=DATA!$C$29,V6=DATA!$C$30)),1,IF(AND(V5=DATA!$B$27,V6=DATA!$C$27),2,IF(AND(V5=DATA!$B$28,OR(V6=DATA!$C$28,V6=DATA!$C$29,V6=DATA!$C$30)),3,IF(AND(V5=DATA!$B$28,V6=DATA!$C$27),4,5))))</f>
        <v>5</v>
      </c>
      <c r="W27" s="326">
        <f>IF(AND(W5=DATA!$B$27,OR(W6=DATA!$C$28,W6=DATA!$C$29,W6=DATA!$C$30)),1,IF(AND(W5=DATA!$B$27,W6=DATA!$C$27),2,IF(AND(W5=DATA!$B$28,OR(W6=DATA!$C$28,W6=DATA!$C$29,W6=DATA!$C$30)),3,IF(AND(W5=DATA!$B$28,W6=DATA!$C$27),4,5))))</f>
        <v>5</v>
      </c>
      <c r="X27" s="327">
        <f>IF(AND(X5=DATA!$B$27,OR(X6=DATA!$C$28,X6=DATA!$C$29,X6=DATA!$C$30)),1,IF(AND(X5=DATA!$B$27,X6=DATA!$C$27),2,IF(AND(X5=DATA!$B$28,OR(X6=DATA!$C$28,X6=DATA!$C$29,X6=DATA!$C$30)),3,IF(AND(X5=DATA!$B$28,X6=DATA!$C$27),4,5))))</f>
        <v>5</v>
      </c>
    </row>
    <row r="28" spans="2:27" x14ac:dyDescent="0.2">
      <c r="B28" s="14" t="s">
        <v>239</v>
      </c>
      <c r="C28" s="20"/>
      <c r="D28" s="303"/>
      <c r="E28" s="326">
        <f>VLOOKUP(E24,DATA!$J$21:$O$25,E27+1,FALSE)</f>
        <v>1.3</v>
      </c>
      <c r="F28" s="326">
        <f>VLOOKUP(F24,DATA!$J$21:$O$25,F27+1,FALSE)</f>
        <v>1.3</v>
      </c>
      <c r="G28" s="326">
        <f>VLOOKUP(G24,DATA!$J$21:$O$25,G27+1,FALSE)</f>
        <v>1.3</v>
      </c>
      <c r="H28" s="326">
        <f>VLOOKUP(H24,DATA!$J$21:$O$25,H27+1,FALSE)</f>
        <v>1</v>
      </c>
      <c r="I28" s="326">
        <f>VLOOKUP(I24,DATA!$J$21:$O$25,I27+1,FALSE)</f>
        <v>1.1000000000000001</v>
      </c>
      <c r="J28" s="326">
        <f>VLOOKUP(J24,DATA!$J$21:$O$25,J27+1,FALSE)</f>
        <v>1</v>
      </c>
      <c r="K28" s="326">
        <f>VLOOKUP(K24,DATA!$J$21:$O$25,K27+1,FALSE)</f>
        <v>1.3</v>
      </c>
      <c r="L28" s="326">
        <f>VLOOKUP(L24,DATA!$J$21:$O$25,L27+1,FALSE)</f>
        <v>1</v>
      </c>
      <c r="M28" s="326">
        <f>VLOOKUP(M24,DATA!$J$21:$O$25,M27+1,FALSE)</f>
        <v>1</v>
      </c>
      <c r="N28" s="326">
        <f>VLOOKUP(N24,DATA!$J$21:$O$25,N27+1,FALSE)</f>
        <v>1.3</v>
      </c>
      <c r="O28" s="326">
        <f>VLOOKUP(O24,DATA!$J$21:$O$25,O27+1,FALSE)</f>
        <v>1.1000000000000001</v>
      </c>
      <c r="P28" s="326">
        <f>VLOOKUP(P24,DATA!$J$21:$O$25,P27+1,FALSE)</f>
        <v>1</v>
      </c>
      <c r="Q28" s="326">
        <f>VLOOKUP(Q24,DATA!$J$21:$O$25,Q27+1,FALSE)</f>
        <v>1</v>
      </c>
      <c r="R28" s="326">
        <f>VLOOKUP(R24,DATA!$J$21:$O$25,R27+1,FALSE)</f>
        <v>1</v>
      </c>
      <c r="S28" s="326">
        <f>VLOOKUP(S24,DATA!$J$21:$O$25,S27+1,FALSE)</f>
        <v>1</v>
      </c>
      <c r="T28" s="326">
        <f>VLOOKUP(T24,DATA!$J$21:$O$25,T27+1,FALSE)</f>
        <v>1</v>
      </c>
      <c r="U28" s="326">
        <f>VLOOKUP(U24,DATA!$J$21:$O$25,U27+1,FALSE)</f>
        <v>1</v>
      </c>
      <c r="V28" s="326">
        <f>VLOOKUP(V24,DATA!$J$21:$O$25,V27+1,FALSE)</f>
        <v>1</v>
      </c>
      <c r="W28" s="326">
        <f>VLOOKUP(W24,DATA!$J$21:$O$25,W27+1,FALSE)</f>
        <v>1</v>
      </c>
      <c r="X28" s="327">
        <f>VLOOKUP(X24,DATA!$J$21:$O$25,X27+1,FALSE)</f>
        <v>1</v>
      </c>
    </row>
    <row r="29" spans="2:27" x14ac:dyDescent="0.2">
      <c r="B29" s="14" t="s">
        <v>240</v>
      </c>
      <c r="C29" s="20"/>
      <c r="D29" s="303"/>
      <c r="E29" s="326">
        <f>VLOOKUP(E25,DATA!$J$26:$O$28,E27+1,FALSE)</f>
        <v>1</v>
      </c>
      <c r="F29" s="326">
        <f>VLOOKUP(F25,DATA!$J$26:$O$28,F27+1,FALSE)</f>
        <v>1</v>
      </c>
      <c r="G29" s="326">
        <f>VLOOKUP(G25,DATA!$J$26:$O$28,G27+1,FALSE)</f>
        <v>1</v>
      </c>
      <c r="H29" s="326">
        <f>VLOOKUP(H25,DATA!$J$26:$O$28,H27+1,FALSE)</f>
        <v>1</v>
      </c>
      <c r="I29" s="326">
        <f>VLOOKUP(I25,DATA!$J$26:$O$28,I27+1,FALSE)</f>
        <v>1</v>
      </c>
      <c r="J29" s="326">
        <f>VLOOKUP(J25,DATA!$J$26:$O$28,J27+1,FALSE)</f>
        <v>0.8</v>
      </c>
      <c r="K29" s="326">
        <f>VLOOKUP(K25,DATA!$J$26:$O$28,K27+1,FALSE)</f>
        <v>1</v>
      </c>
      <c r="L29" s="326">
        <f>VLOOKUP(L25,DATA!$J$26:$O$28,L27+1,FALSE)</f>
        <v>1.2</v>
      </c>
      <c r="M29" s="326">
        <f>VLOOKUP(M25,DATA!$J$26:$O$28,M27+1,FALSE)</f>
        <v>0.8</v>
      </c>
      <c r="N29" s="326">
        <f>VLOOKUP(N25,DATA!$J$26:$O$28,N27+1,FALSE)</f>
        <v>1</v>
      </c>
      <c r="O29" s="326">
        <f>VLOOKUP(O25,DATA!$J$26:$O$28,O27+1,FALSE)</f>
        <v>1</v>
      </c>
      <c r="P29" s="326">
        <f>VLOOKUP(P25,DATA!$J$26:$O$28,P27+1,FALSE)</f>
        <v>0.8</v>
      </c>
      <c r="Q29" s="326">
        <f>VLOOKUP(Q25,DATA!$J$26:$O$28,Q27+1,FALSE)</f>
        <v>0.8</v>
      </c>
      <c r="R29" s="326">
        <f>VLOOKUP(R25,DATA!$J$26:$O$28,R27+1,FALSE)</f>
        <v>0.8</v>
      </c>
      <c r="S29" s="326">
        <f>VLOOKUP(S25,DATA!$J$26:$O$28,S27+1,FALSE)</f>
        <v>0.8</v>
      </c>
      <c r="T29" s="326">
        <f>VLOOKUP(T25,DATA!$J$26:$O$28,T27+1,FALSE)</f>
        <v>0.8</v>
      </c>
      <c r="U29" s="326">
        <f>VLOOKUP(U25,DATA!$J$26:$O$28,U27+1,FALSE)</f>
        <v>0.8</v>
      </c>
      <c r="V29" s="326">
        <f>VLOOKUP(V25,DATA!$J$26:$O$28,V27+1,FALSE)</f>
        <v>0.8</v>
      </c>
      <c r="W29" s="326">
        <f>VLOOKUP(W25,DATA!$J$26:$O$28,W27+1,FALSE)</f>
        <v>0.8</v>
      </c>
      <c r="X29" s="327">
        <f>VLOOKUP(X25,DATA!$J$26:$O$28,X27+1,FALSE)</f>
        <v>0.8</v>
      </c>
    </row>
    <row r="30" spans="2:27" x14ac:dyDescent="0.2">
      <c r="B30" s="14" t="s">
        <v>241</v>
      </c>
      <c r="C30" s="20"/>
      <c r="D30" s="303"/>
      <c r="E30" s="326">
        <f>VLOOKUP(E26,DATA!$J$29:$O$34,E27+1,FALSE)</f>
        <v>1.65</v>
      </c>
      <c r="F30" s="326">
        <f>VLOOKUP(F26,DATA!$J$29:$O$34,F27+1,FALSE)</f>
        <v>1.65</v>
      </c>
      <c r="G30" s="326">
        <f>VLOOKUP(G26,DATA!$J$29:$O$34,G27+1,FALSE)</f>
        <v>1.65</v>
      </c>
      <c r="H30" s="326">
        <f>VLOOKUP(H26,DATA!$J$29:$O$34,H27+1,FALSE)</f>
        <v>1.3</v>
      </c>
      <c r="I30" s="326">
        <f>VLOOKUP(I26,DATA!$J$29:$O$34,I27+1,FALSE)</f>
        <v>1.3</v>
      </c>
      <c r="J30" s="326">
        <f>VLOOKUP(J26,DATA!$J$29:$O$34,J27+1,FALSE)</f>
        <v>1.7</v>
      </c>
      <c r="K30" s="326">
        <f>VLOOKUP(K26,DATA!$J$29:$O$34,K27+1,FALSE)</f>
        <v>1.4</v>
      </c>
      <c r="L30" s="326">
        <f>VLOOKUP(L26,DATA!$J$29:$O$34,L27+1,FALSE)</f>
        <v>2.75</v>
      </c>
      <c r="M30" s="326">
        <f>VLOOKUP(M26,DATA!$J$29:$O$34,M27+1,FALSE)</f>
        <v>0.9</v>
      </c>
      <c r="N30" s="326">
        <f>VLOOKUP(N26,DATA!$J$29:$O$34,N27+1,FALSE)</f>
        <v>0.9</v>
      </c>
      <c r="O30" s="326">
        <f>VLOOKUP(O26,DATA!$J$29:$O$34,O27+1,FALSE)</f>
        <v>1.4</v>
      </c>
      <c r="P30" s="326">
        <f>VLOOKUP(P26,DATA!$J$29:$O$34,P27+1,FALSE)</f>
        <v>1.7</v>
      </c>
      <c r="Q30" s="326">
        <f>VLOOKUP(Q26,DATA!$J$29:$O$34,Q27+1,FALSE)</f>
        <v>1.7</v>
      </c>
      <c r="R30" s="326">
        <f>VLOOKUP(R26,DATA!$J$29:$O$34,R27+1,FALSE)</f>
        <v>0.9</v>
      </c>
      <c r="S30" s="326">
        <f>VLOOKUP(S26,DATA!$J$29:$O$34,S27+1,FALSE)</f>
        <v>0.9</v>
      </c>
      <c r="T30" s="326">
        <f>VLOOKUP(T26,DATA!$J$29:$O$34,T27+1,FALSE)</f>
        <v>0.9</v>
      </c>
      <c r="U30" s="326">
        <f>VLOOKUP(U26,DATA!$J$29:$O$34,U27+1,FALSE)</f>
        <v>0.9</v>
      </c>
      <c r="V30" s="326">
        <f>VLOOKUP(V26,DATA!$J$29:$O$34,V27+1,FALSE)</f>
        <v>0.9</v>
      </c>
      <c r="W30" s="326">
        <f>VLOOKUP(W26,DATA!$J$29:$O$34,W27+1,FALSE)</f>
        <v>0.9</v>
      </c>
      <c r="X30" s="327">
        <f>VLOOKUP(X26,DATA!$J$29:$O$34,X27+1,FALSE)</f>
        <v>0.9</v>
      </c>
    </row>
    <row r="31" spans="2:27" x14ac:dyDescent="0.2">
      <c r="B31" s="14" t="s">
        <v>245</v>
      </c>
      <c r="C31" s="20"/>
      <c r="D31" s="303"/>
      <c r="E31" s="326">
        <f>VLOOKUP(DATA!$J$35,DATA!$J$35:$O$37,E27+1,0)*VLOOKUP(DATA!$J$36,DATA!$J$35:$O$37,E27+1,0)*VLOOKUP(DATA!$J$37,DATA!$J$35:$O$37,E27+1,0)</f>
        <v>1.3282500000000002</v>
      </c>
      <c r="F31" s="326">
        <f>VLOOKUP(DATA!$J$35,DATA!$J$35:$O$37,F27+1,0)*VLOOKUP(DATA!$J$36,DATA!$J$35:$O$37,F27+1,0)*VLOOKUP(DATA!$J$37,DATA!$J$35:$O$37,F27+1,0)</f>
        <v>1.3282500000000002</v>
      </c>
      <c r="G31" s="326">
        <f>VLOOKUP(DATA!$J$35,DATA!$J$35:$O$37,G27+1,0)*VLOOKUP(DATA!$J$36,DATA!$J$35:$O$37,G27+1,0)*VLOOKUP(DATA!$J$37,DATA!$J$35:$O$37,G27+1,0)</f>
        <v>1.3282500000000002</v>
      </c>
      <c r="H31" s="326">
        <f>VLOOKUP(DATA!$J$35,DATA!$J$35:$O$37,H27+1,0)*VLOOKUP(DATA!$J$36,DATA!$J$35:$O$37,H27+1,0)*VLOOKUP(DATA!$J$37,DATA!$J$35:$O$37,H27+1,0)</f>
        <v>1.2705000000000004</v>
      </c>
      <c r="I31" s="326">
        <f>VLOOKUP(DATA!$J$35,DATA!$J$35:$O$37,I27+1,0)*VLOOKUP(DATA!$J$36,DATA!$J$35:$O$37,I27+1,0)*VLOOKUP(DATA!$J$37,DATA!$J$35:$O$37,I27+1,0)</f>
        <v>1.2705000000000004</v>
      </c>
      <c r="J31" s="326">
        <f>VLOOKUP(DATA!$J$35,DATA!$J$35:$O$37,J27+1,0)*VLOOKUP(DATA!$J$36,DATA!$J$35:$O$37,J27+1,0)*VLOOKUP(DATA!$J$37,DATA!$J$35:$O$37,J27+1,0)</f>
        <v>1.2127500000000002</v>
      </c>
      <c r="K31" s="326">
        <f>VLOOKUP(DATA!$J$35,DATA!$J$35:$O$37,K27+1,0)*VLOOKUP(DATA!$J$36,DATA!$J$35:$O$37,K27+1,0)*VLOOKUP(DATA!$J$37,DATA!$J$35:$O$37,K27+1,0)</f>
        <v>1.2127500000000002</v>
      </c>
      <c r="L31" s="326">
        <f>VLOOKUP(DATA!$J$35,DATA!$J$35:$O$37,L27+1,0)*VLOOKUP(DATA!$J$36,DATA!$J$35:$O$37,L27+1,0)*VLOOKUP(DATA!$J$37,DATA!$J$35:$O$37,L27+1,0)</f>
        <v>1.2127500000000002</v>
      </c>
      <c r="M31" s="326">
        <f>VLOOKUP(DATA!$J$35,DATA!$J$35:$O$37,M27+1,0)*VLOOKUP(DATA!$J$36,DATA!$J$35:$O$37,M27+1,0)*VLOOKUP(DATA!$J$37,DATA!$J$35:$O$37,M27+1,0)</f>
        <v>1.2127500000000002</v>
      </c>
      <c r="N31" s="326">
        <f>VLOOKUP(DATA!$J$35,DATA!$J$35:$O$37,N27+1,0)*VLOOKUP(DATA!$J$36,DATA!$J$35:$O$37,N27+1,0)*VLOOKUP(DATA!$J$37,DATA!$J$35:$O$37,N27+1,0)</f>
        <v>1.2127500000000002</v>
      </c>
      <c r="O31" s="326">
        <f>VLOOKUP(DATA!$J$35,DATA!$J$35:$O$37,O27+1,0)*VLOOKUP(DATA!$J$36,DATA!$J$35:$O$37,O27+1,0)*VLOOKUP(DATA!$J$37,DATA!$J$35:$O$37,O27+1,0)</f>
        <v>1.2127500000000002</v>
      </c>
      <c r="P31" s="326">
        <f>VLOOKUP(DATA!$J$35,DATA!$J$35:$O$37,P27+1,0)*VLOOKUP(DATA!$J$36,DATA!$J$35:$O$37,P27+1,0)*VLOOKUP(DATA!$J$37,DATA!$J$35:$O$37,P27+1,0)</f>
        <v>1.2127500000000002</v>
      </c>
      <c r="Q31" s="326">
        <f>VLOOKUP(DATA!$J$35,DATA!$J$35:$O$37,Q27+1,0)*VLOOKUP(DATA!$J$36,DATA!$J$35:$O$37,Q27+1,0)*VLOOKUP(DATA!$J$37,DATA!$J$35:$O$37,Q27+1,0)</f>
        <v>1.2127500000000002</v>
      </c>
      <c r="R31" s="326">
        <f>VLOOKUP(DATA!$J$35,DATA!$J$35:$O$37,R27+1,0)*VLOOKUP(DATA!$J$36,DATA!$J$35:$O$37,R27+1,0)*VLOOKUP(DATA!$J$37,DATA!$J$35:$O$37,R27+1,0)</f>
        <v>1.2127500000000002</v>
      </c>
      <c r="S31" s="326">
        <f>VLOOKUP(DATA!$J$35,DATA!$J$35:$O$37,S27+1,0)*VLOOKUP(DATA!$J$36,DATA!$J$35:$O$37,S27+1,0)*VLOOKUP(DATA!$J$37,DATA!$J$35:$O$37,S27+1,0)</f>
        <v>1.2127500000000002</v>
      </c>
      <c r="T31" s="326">
        <f>VLOOKUP(DATA!$J$35,DATA!$J$35:$O$37,T27+1,0)*VLOOKUP(DATA!$J$36,DATA!$J$35:$O$37,T27+1,0)*VLOOKUP(DATA!$J$37,DATA!$J$35:$O$37,T27+1,0)</f>
        <v>1.2127500000000002</v>
      </c>
      <c r="U31" s="326">
        <f>VLOOKUP(DATA!$J$35,DATA!$J$35:$O$37,U27+1,0)*VLOOKUP(DATA!$J$36,DATA!$J$35:$O$37,U27+1,0)*VLOOKUP(DATA!$J$37,DATA!$J$35:$O$37,U27+1,0)</f>
        <v>1.2127500000000002</v>
      </c>
      <c r="V31" s="326">
        <f>VLOOKUP(DATA!$J$35,DATA!$J$35:$O$37,V27+1,0)*VLOOKUP(DATA!$J$36,DATA!$J$35:$O$37,V27+1,0)*VLOOKUP(DATA!$J$37,DATA!$J$35:$O$37,V27+1,0)</f>
        <v>1.2127500000000002</v>
      </c>
      <c r="W31" s="326">
        <f>VLOOKUP(DATA!$J$35,DATA!$J$35:$O$37,W27+1,0)*VLOOKUP(DATA!$J$36,DATA!$J$35:$O$37,W27+1,0)*VLOOKUP(DATA!$J$37,DATA!$J$35:$O$37,W27+1,0)</f>
        <v>1.2127500000000002</v>
      </c>
      <c r="X31" s="327">
        <f>VLOOKUP(DATA!$J$35,DATA!$J$35:$O$37,X27+1,0)*VLOOKUP(DATA!$J$36,DATA!$J$35:$O$37,X27+1,0)*VLOOKUP(DATA!$J$37,DATA!$J$35:$O$37,X27+1,0)</f>
        <v>1.2127500000000002</v>
      </c>
    </row>
    <row r="32" spans="2:27" x14ac:dyDescent="0.2">
      <c r="B32" s="14" t="s">
        <v>233</v>
      </c>
      <c r="C32" s="20"/>
      <c r="D32" s="303"/>
      <c r="E32" s="326">
        <f>HLOOKUP(E27,DATA!$K$21:$O$22,2,0)</f>
        <v>25</v>
      </c>
      <c r="F32" s="326">
        <f>HLOOKUP(F27,DATA!$K$21:$O$22,2,0)</f>
        <v>25</v>
      </c>
      <c r="G32" s="326">
        <f>HLOOKUP(G27,DATA!$K$21:$O$22,2,0)</f>
        <v>25</v>
      </c>
      <c r="H32" s="326">
        <f>HLOOKUP(H27,DATA!$K$21:$O$22,2,0)</f>
        <v>20</v>
      </c>
      <c r="I32" s="326">
        <f>HLOOKUP(I27,DATA!$K$21:$O$22,2,0)</f>
        <v>20</v>
      </c>
      <c r="J32" s="326">
        <f>HLOOKUP(J27,DATA!$K$21:$O$22,2,0)</f>
        <v>43</v>
      </c>
      <c r="K32" s="326">
        <f>HLOOKUP(K27,DATA!$K$21:$O$22,2,0)</f>
        <v>43</v>
      </c>
      <c r="L32" s="326">
        <f>HLOOKUP(L27,DATA!$K$21:$O$22,2,0)</f>
        <v>43</v>
      </c>
      <c r="M32" s="326">
        <f>HLOOKUP(M27,DATA!$K$21:$O$22,2,0)</f>
        <v>43</v>
      </c>
      <c r="N32" s="326">
        <f>HLOOKUP(N27,DATA!$K$21:$O$22,2,0)</f>
        <v>43</v>
      </c>
      <c r="O32" s="326">
        <f>HLOOKUP(O27,DATA!$K$21:$O$22,2,0)</f>
        <v>43</v>
      </c>
      <c r="P32" s="326">
        <f>HLOOKUP(P27,DATA!$K$21:$O$22,2,0)</f>
        <v>43</v>
      </c>
      <c r="Q32" s="326">
        <f>HLOOKUP(Q27,DATA!$K$21:$O$22,2,0)</f>
        <v>43</v>
      </c>
      <c r="R32" s="326">
        <f>HLOOKUP(R27,DATA!$K$21:$O$22,2,0)</f>
        <v>43</v>
      </c>
      <c r="S32" s="326">
        <f>HLOOKUP(S27,DATA!$K$21:$O$22,2,0)</f>
        <v>43</v>
      </c>
      <c r="T32" s="326">
        <f>HLOOKUP(T27,DATA!$K$21:$O$22,2,0)</f>
        <v>43</v>
      </c>
      <c r="U32" s="326">
        <f>HLOOKUP(U27,DATA!$K$21:$O$22,2,0)</f>
        <v>43</v>
      </c>
      <c r="V32" s="326">
        <f>HLOOKUP(V27,DATA!$K$21:$O$22,2,0)</f>
        <v>43</v>
      </c>
      <c r="W32" s="326">
        <f>HLOOKUP(W27,DATA!$K$21:$O$22,2,0)</f>
        <v>43</v>
      </c>
      <c r="X32" s="327">
        <f>HLOOKUP(X27,DATA!$K$21:$O$22,2,0)</f>
        <v>43</v>
      </c>
    </row>
    <row r="33" spans="2:24" x14ac:dyDescent="0.2">
      <c r="B33" s="14" t="s">
        <v>247</v>
      </c>
      <c r="C33" s="20"/>
      <c r="D33" s="328" t="s">
        <v>246</v>
      </c>
      <c r="E33" s="326">
        <f>E32*E31*E30*E29*E28</f>
        <v>71.227406250000016</v>
      </c>
      <c r="F33" s="326">
        <f t="shared" ref="F33:X33" si="4">F32*F31*F30*F29*F28</f>
        <v>71.227406250000016</v>
      </c>
      <c r="G33" s="326">
        <f t="shared" si="4"/>
        <v>71.227406250000016</v>
      </c>
      <c r="H33" s="326">
        <f t="shared" si="4"/>
        <v>33.033000000000008</v>
      </c>
      <c r="I33" s="326">
        <f t="shared" si="4"/>
        <v>36.336300000000016</v>
      </c>
      <c r="J33" s="326">
        <f t="shared" si="4"/>
        <v>70.921620000000019</v>
      </c>
      <c r="K33" s="326">
        <f t="shared" si="4"/>
        <v>94.909815000000009</v>
      </c>
      <c r="L33" s="326">
        <f t="shared" si="4"/>
        <v>172.08922500000003</v>
      </c>
      <c r="M33" s="326">
        <f t="shared" si="4"/>
        <v>37.546740000000014</v>
      </c>
      <c r="N33" s="326">
        <f t="shared" si="4"/>
        <v>61.013452500000021</v>
      </c>
      <c r="O33" s="326">
        <f t="shared" si="4"/>
        <v>80.308305000000018</v>
      </c>
      <c r="P33" s="326">
        <f t="shared" si="4"/>
        <v>70.921620000000019</v>
      </c>
      <c r="Q33" s="326">
        <f t="shared" si="4"/>
        <v>70.921620000000019</v>
      </c>
      <c r="R33" s="326">
        <f t="shared" si="4"/>
        <v>37.546740000000014</v>
      </c>
      <c r="S33" s="326">
        <f t="shared" si="4"/>
        <v>37.546740000000014</v>
      </c>
      <c r="T33" s="326">
        <f t="shared" si="4"/>
        <v>37.546740000000014</v>
      </c>
      <c r="U33" s="326">
        <f t="shared" si="4"/>
        <v>37.546740000000014</v>
      </c>
      <c r="V33" s="326">
        <f t="shared" si="4"/>
        <v>37.546740000000014</v>
      </c>
      <c r="W33" s="326">
        <f t="shared" si="4"/>
        <v>37.546740000000014</v>
      </c>
      <c r="X33" s="327">
        <f t="shared" si="4"/>
        <v>37.546740000000014</v>
      </c>
    </row>
    <row r="34" spans="2:24" x14ac:dyDescent="0.2">
      <c r="B34" s="21" t="s">
        <v>37</v>
      </c>
      <c r="C34" s="22"/>
      <c r="D34" s="329" t="s">
        <v>14</v>
      </c>
      <c r="E34" s="326">
        <f>SUM(E12:E16)</f>
        <v>12</v>
      </c>
      <c r="F34" s="326">
        <f t="shared" ref="F34:X34" si="5">SUM(F12:F16)</f>
        <v>12</v>
      </c>
      <c r="G34" s="326">
        <f t="shared" si="5"/>
        <v>12</v>
      </c>
      <c r="H34" s="326">
        <f t="shared" si="5"/>
        <v>12</v>
      </c>
      <c r="I34" s="326">
        <f t="shared" si="5"/>
        <v>12</v>
      </c>
      <c r="J34" s="326">
        <f t="shared" si="5"/>
        <v>0</v>
      </c>
      <c r="K34" s="326">
        <f t="shared" si="5"/>
        <v>0</v>
      </c>
      <c r="L34" s="326">
        <f t="shared" si="5"/>
        <v>0</v>
      </c>
      <c r="M34" s="326">
        <f t="shared" si="5"/>
        <v>0</v>
      </c>
      <c r="N34" s="326">
        <f t="shared" si="5"/>
        <v>0</v>
      </c>
      <c r="O34" s="326">
        <f t="shared" si="5"/>
        <v>0</v>
      </c>
      <c r="P34" s="326">
        <f t="shared" si="5"/>
        <v>0</v>
      </c>
      <c r="Q34" s="326">
        <f t="shared" si="5"/>
        <v>0</v>
      </c>
      <c r="R34" s="326">
        <f t="shared" si="5"/>
        <v>0</v>
      </c>
      <c r="S34" s="326">
        <f t="shared" si="5"/>
        <v>0</v>
      </c>
      <c r="T34" s="326">
        <f t="shared" si="5"/>
        <v>0</v>
      </c>
      <c r="U34" s="326">
        <f t="shared" si="5"/>
        <v>0</v>
      </c>
      <c r="V34" s="326">
        <f t="shared" si="5"/>
        <v>0</v>
      </c>
      <c r="W34" s="326">
        <f t="shared" si="5"/>
        <v>0</v>
      </c>
      <c r="X34" s="327">
        <f t="shared" si="5"/>
        <v>0</v>
      </c>
    </row>
    <row r="35" spans="2:24" x14ac:dyDescent="0.2">
      <c r="B35" s="330" t="s">
        <v>294</v>
      </c>
      <c r="C35" s="79"/>
      <c r="D35" s="331" t="s">
        <v>38</v>
      </c>
      <c r="E35" s="326">
        <f>IF(ISNUMBER(E36),"",IF(E7="ANO",E33*E8/1000*E34*DATA!$D$33,E33*E8/1000*E34))</f>
        <v>232.48625400000003</v>
      </c>
      <c r="F35" s="326">
        <f>IF(ISNUMBER(F36),"",IF(F7="ANO",F33*F8/1000*F34*DATA!$D$33,F33*F8/1000*F34))</f>
        <v>232.48625400000003</v>
      </c>
      <c r="G35" s="326">
        <f>IF(ISNUMBER(G36),"",IF(G7="ANO",G33*G8/1000*G34*DATA!$D$33,G33*G8/1000*G34))</f>
        <v>232.48625400000003</v>
      </c>
      <c r="H35" s="326">
        <f>IF(ISNUMBER(H36),"",IF(H7="ANO",H33*H8/1000*H34*DATA!$D$33,H33*H8/1000*H34))</f>
        <v>276.28801200000009</v>
      </c>
      <c r="I35" s="326">
        <f>IF(ISNUMBER(I36),"",IF(I7="ANO",I33*I8/1000*I34*DATA!$D$33,I33*I8/1000*I34))</f>
        <v>303.91681320000015</v>
      </c>
      <c r="J35" s="326">
        <f>IF(ISNUMBER(J36),"",IF(J7="ANO",J33*J8/1000*J34*DATA!$D$33,J33*J8/1000*J34))</f>
        <v>0</v>
      </c>
      <c r="K35" s="326">
        <f>IF(ISNUMBER(K36),"",IF(K7="ANO",K33*K8/1000*K34*DATA!$D$33,K33*K8/1000*K34))</f>
        <v>0</v>
      </c>
      <c r="L35" s="326">
        <f>IF(ISNUMBER(L36),"",IF(L7="ANO",L33*L8/1000*L34*DATA!$D$33,L33*L8/1000*L34))</f>
        <v>0</v>
      </c>
      <c r="M35" s="326">
        <f>IF(ISNUMBER(M36),"",IF(M7="ANO",M33*M8/1000*M34*DATA!$D$33,M33*M8/1000*M34))</f>
        <v>0</v>
      </c>
      <c r="N35" s="326">
        <f>IF(ISNUMBER(N36),"",IF(N7="ANO",N33*N8/1000*N34*DATA!$D$33,N33*N8/1000*N34))</f>
        <v>0</v>
      </c>
      <c r="O35" s="326">
        <f>IF(ISNUMBER(O36),"",IF(O7="ANO",O33*O8/1000*O34*DATA!$D$33,O33*O8/1000*O34))</f>
        <v>0</v>
      </c>
      <c r="P35" s="326">
        <f>IF(ISNUMBER(P36),"",IF(P7="ANO",P33*P8/1000*P34*DATA!$D$33,P33*P8/1000*P34))</f>
        <v>0</v>
      </c>
      <c r="Q35" s="326">
        <f>IF(ISNUMBER(Q36),"",IF(Q7="ANO",Q33*Q8/1000*Q34*DATA!$D$33,Q33*Q8/1000*Q34))</f>
        <v>0</v>
      </c>
      <c r="R35" s="326">
        <f>IF(ISNUMBER(R36),"",IF(R7="ANO",R33*R8/1000*R34*DATA!$D$33,R33*R8/1000*R34))</f>
        <v>0</v>
      </c>
      <c r="S35" s="326">
        <f>IF(ISNUMBER(S36),"",IF(S7="ANO",S33*S8/1000*S34*DATA!$D$33,S33*S8/1000*S34))</f>
        <v>0</v>
      </c>
      <c r="T35" s="326">
        <f>IF(ISNUMBER(T36),"",IF(T7="ANO",T33*T8/1000*T34*DATA!$D$33,T33*T8/1000*T34))</f>
        <v>0</v>
      </c>
      <c r="U35" s="326">
        <f>IF(ISNUMBER(U36),"",IF(U7="ANO",U33*U8/1000*U34*DATA!$D$33,U33*U8/1000*U34))</f>
        <v>0</v>
      </c>
      <c r="V35" s="326">
        <f>IF(ISNUMBER(V36),"",IF(V7="ANO",V33*V8/1000*V34*DATA!$D$33,V33*V8/1000*V34))</f>
        <v>0</v>
      </c>
      <c r="W35" s="326">
        <f>IF(ISNUMBER(W36),"",IF(W7="ANO",W33*W8/1000*W34*DATA!$D$33,W33*W8/1000*W34))</f>
        <v>0</v>
      </c>
      <c r="X35" s="327">
        <f>IF(ISNUMBER(X36),"",IF(X7="ANO",X33*X8/1000*X34*DATA!$D$33,X33*X8/1000*X34))</f>
        <v>0</v>
      </c>
    </row>
    <row r="36" spans="2:24" x14ac:dyDescent="0.2">
      <c r="B36" s="332" t="s">
        <v>373</v>
      </c>
      <c r="C36" s="333"/>
      <c r="D36" s="334" t="s">
        <v>38</v>
      </c>
      <c r="E36" s="385"/>
      <c r="F36" s="383"/>
      <c r="G36" s="383"/>
      <c r="H36" s="383"/>
      <c r="I36" s="383"/>
      <c r="J36" s="381"/>
      <c r="K36" s="383"/>
      <c r="L36" s="383"/>
      <c r="M36" s="383"/>
      <c r="N36" s="385"/>
      <c r="O36" s="383"/>
      <c r="P36" s="383"/>
      <c r="Q36" s="383"/>
      <c r="R36" s="383"/>
      <c r="S36" s="383"/>
      <c r="T36" s="383"/>
      <c r="U36" s="383"/>
      <c r="V36" s="383"/>
      <c r="W36" s="383"/>
      <c r="X36" s="384"/>
    </row>
    <row r="37" spans="2:24" ht="13.5" thickBot="1" x14ac:dyDescent="0.25">
      <c r="B37" s="335" t="s">
        <v>58</v>
      </c>
      <c r="C37" s="336"/>
      <c r="D37" s="337" t="s">
        <v>16</v>
      </c>
      <c r="E37" s="338">
        <f>IF(ISBLANK(E6),"-",IF(ISBLANK(E36),E35*VLOOKUP(E6,DATA!$B$19:$C$22,2,0),E36*VLOOKUP(E6,DATA!$B$19:$C$22,2,0)))</f>
        <v>557.9670096000001</v>
      </c>
      <c r="F37" s="338">
        <f>IF(ISBLANK(F6),"-",IF(ISBLANK(F36),F35*VLOOKUP(F6,DATA!$B$19:$C$22,2,0),F36*VLOOKUP(F6,DATA!$B$19:$C$22,2,0)))</f>
        <v>557.9670096000001</v>
      </c>
      <c r="G37" s="338">
        <f>IF(ISBLANK(G6),"-",IF(ISBLANK(G36),G35*VLOOKUP(G6,DATA!$B$19:$C$22,2,0),G36*VLOOKUP(G6,DATA!$B$19:$C$22,2,0)))</f>
        <v>557.9670096000001</v>
      </c>
      <c r="H37" s="338">
        <f>IF(ISBLANK(H6),"-",IF(ISBLANK(H36),H35*VLOOKUP(H6,DATA!$B$19:$C$22,2,0),H36*VLOOKUP(H6,DATA!$B$19:$C$22,2,0)))</f>
        <v>663.09122880000018</v>
      </c>
      <c r="I37" s="338">
        <f>IF(ISBLANK(I6),"-",IF(ISBLANK(I36),I35*VLOOKUP(I6,DATA!$B$19:$C$22,2,0),I36*VLOOKUP(I6,DATA!$B$19:$C$22,2,0)))</f>
        <v>729.40035168000031</v>
      </c>
      <c r="J37" s="338" t="str">
        <f>IF(ISBLANK(J6),"-",IF(ISBLANK(J36),J35*VLOOKUP(J6,DATA!$B$19:$C$22,2,0),J36*VLOOKUP(J6,DATA!$B$19:$C$22,2,0)))</f>
        <v>-</v>
      </c>
      <c r="K37" s="338" t="str">
        <f>IF(ISBLANK(K6),"-",IF(ISBLANK(K36),K35*VLOOKUP(K6,DATA!$B$19:$C$22,2,0),K36*VLOOKUP(K6,DATA!$B$19:$C$22,2,0)))</f>
        <v>-</v>
      </c>
      <c r="L37" s="338" t="str">
        <f>IF(ISBLANK(L6),"-",IF(ISBLANK(L36),L35*VLOOKUP(L6,DATA!$B$19:$C$22,2,0),L36*VLOOKUP(L6,DATA!$B$19:$C$22,2,0)))</f>
        <v>-</v>
      </c>
      <c r="M37" s="338" t="str">
        <f>IF(ISBLANK(M6),"-",IF(ISBLANK(M36),M35*VLOOKUP(M6,DATA!$B$19:$C$22,2,0),M36*VLOOKUP(M6,DATA!$B$19:$C$22,2,0)))</f>
        <v>-</v>
      </c>
      <c r="N37" s="338" t="str">
        <f>IF(ISBLANK(N6),"-",IF(ISBLANK(N36),N35*VLOOKUP(N6,DATA!$B$19:$C$22,2,0),N36*VLOOKUP(N6,DATA!$B$19:$C$22,2,0)))</f>
        <v>-</v>
      </c>
      <c r="O37" s="338" t="str">
        <f>IF(ISBLANK(O6),"-",IF(ISBLANK(O36),O35*VLOOKUP(O6,DATA!$B$19:$C$22,2,0),O36*VLOOKUP(O6,DATA!$B$19:$C$22,2,0)))</f>
        <v>-</v>
      </c>
      <c r="P37" s="338" t="str">
        <f>IF(ISBLANK(P6),"-",IF(ISBLANK(P36),P35*VLOOKUP(P6,DATA!$B$19:$C$22,2,0),P36*VLOOKUP(P6,DATA!$B$19:$C$22,2,0)))</f>
        <v>-</v>
      </c>
      <c r="Q37" s="338" t="str">
        <f>IF(ISBLANK(Q6),"-",IF(ISBLANK(Q36),Q35*VLOOKUP(Q6,DATA!$B$19:$C$22,2,0),Q36*VLOOKUP(Q6,DATA!$B$19:$C$22,2,0)))</f>
        <v>-</v>
      </c>
      <c r="R37" s="338" t="str">
        <f>IF(ISBLANK(R6),"-",IF(ISBLANK(R36),R35*VLOOKUP(R6,DATA!$B$19:$C$22,2,0),R36*VLOOKUP(R6,DATA!$B$19:$C$22,2,0)))</f>
        <v>-</v>
      </c>
      <c r="S37" s="338" t="str">
        <f>IF(ISBLANK(S6),"-",IF(ISBLANK(S36),S35*VLOOKUP(S6,DATA!$B$19:$C$22,2,0),S36*VLOOKUP(S6,DATA!$B$19:$C$22,2,0)))</f>
        <v>-</v>
      </c>
      <c r="T37" s="338" t="str">
        <f>IF(ISBLANK(T6),"-",IF(ISBLANK(T36),T35*VLOOKUP(T6,DATA!$B$19:$C$22,2,0),T36*VLOOKUP(T6,DATA!$B$19:$C$22,2,0)))</f>
        <v>-</v>
      </c>
      <c r="U37" s="338" t="str">
        <f>IF(ISBLANK(U6),"-",IF(ISBLANK(U36),U35*VLOOKUP(U6,DATA!$B$19:$C$22,2,0),U36*VLOOKUP(U6,DATA!$B$19:$C$22,2,0)))</f>
        <v>-</v>
      </c>
      <c r="V37" s="338" t="str">
        <f>IF(ISBLANK(V6),"-",IF(ISBLANK(V36),V35*VLOOKUP(V6,DATA!$B$19:$C$22,2,0),V36*VLOOKUP(V6,DATA!$B$19:$C$22,2,0)))</f>
        <v>-</v>
      </c>
      <c r="W37" s="338" t="str">
        <f>IF(ISBLANK(W6),"-",IF(ISBLANK(W36),W35*VLOOKUP(W6,DATA!$B$19:$C$22,2,0),W36*VLOOKUP(W6,DATA!$B$19:$C$22,2,0)))</f>
        <v>-</v>
      </c>
      <c r="X37" s="339" t="str">
        <f>IF(ISBLANK(X6),"-",IF(ISBLANK(X36),X35*VLOOKUP(X6,DATA!$B$19:$C$22,2,0),X36*VLOOKUP(X6,DATA!$B$19:$C$22,2,0)))</f>
        <v>-</v>
      </c>
    </row>
    <row r="38" spans="2:24" x14ac:dyDescent="0.2">
      <c r="B38" s="340"/>
      <c r="C38" s="340"/>
      <c r="D38" s="35"/>
      <c r="E38" s="32"/>
      <c r="F38" s="32"/>
      <c r="G38" s="32"/>
      <c r="H38" s="32"/>
      <c r="I38" s="32"/>
      <c r="J38" s="32"/>
    </row>
    <row r="39" spans="2:24" ht="13.5" thickBot="1" x14ac:dyDescent="0.25">
      <c r="B39" s="1" t="s">
        <v>279</v>
      </c>
      <c r="C39" s="32"/>
      <c r="D39" s="35"/>
      <c r="E39" s="32"/>
      <c r="F39" s="32"/>
      <c r="G39" s="32"/>
      <c r="H39" s="32"/>
      <c r="I39" s="32"/>
      <c r="J39" s="519" t="s">
        <v>346</v>
      </c>
      <c r="K39" s="519"/>
      <c r="N39" s="519" t="s">
        <v>347</v>
      </c>
      <c r="O39" s="519"/>
      <c r="S39" s="519" t="s">
        <v>353</v>
      </c>
      <c r="T39" s="519"/>
    </row>
    <row r="40" spans="2:24" x14ac:dyDescent="0.2">
      <c r="B40" s="502" t="s">
        <v>354</v>
      </c>
      <c r="C40" s="503"/>
      <c r="D40" s="60" t="s">
        <v>257</v>
      </c>
      <c r="E40" s="504" t="s">
        <v>258</v>
      </c>
      <c r="F40" s="505"/>
      <c r="G40" s="505"/>
      <c r="H40" s="506"/>
      <c r="I40" s="32"/>
      <c r="J40" s="511" t="s">
        <v>313</v>
      </c>
      <c r="K40" s="512"/>
      <c r="L40" s="341" t="s">
        <v>319</v>
      </c>
      <c r="N40" s="4" t="s">
        <v>348</v>
      </c>
      <c r="O40" s="307"/>
      <c r="P40" s="307"/>
      <c r="Q40" s="342"/>
      <c r="S40" s="517" t="s">
        <v>349</v>
      </c>
      <c r="T40" s="518"/>
      <c r="U40" s="341" t="s">
        <v>352</v>
      </c>
    </row>
    <row r="41" spans="2:24" x14ac:dyDescent="0.2">
      <c r="B41" s="494" t="s">
        <v>134</v>
      </c>
      <c r="C41" s="495"/>
      <c r="D41" s="343">
        <v>1</v>
      </c>
      <c r="E41" s="492" t="s">
        <v>248</v>
      </c>
      <c r="F41" s="492"/>
      <c r="G41" s="492"/>
      <c r="H41" s="493"/>
      <c r="I41" s="100"/>
      <c r="J41" s="509" t="s">
        <v>314</v>
      </c>
      <c r="K41" s="510"/>
      <c r="L41" s="344">
        <v>1.1499999999999999</v>
      </c>
      <c r="N41" s="345" t="s">
        <v>344</v>
      </c>
      <c r="O41" s="346" t="s">
        <v>345</v>
      </c>
      <c r="P41" s="346" t="s">
        <v>344</v>
      </c>
      <c r="Q41" s="347" t="s">
        <v>345</v>
      </c>
      <c r="S41" s="513" t="s">
        <v>351</v>
      </c>
      <c r="T41" s="514"/>
      <c r="U41" s="344">
        <v>1</v>
      </c>
    </row>
    <row r="42" spans="2:24" ht="13.5" thickBot="1" x14ac:dyDescent="0.25">
      <c r="B42" s="494"/>
      <c r="C42" s="495"/>
      <c r="D42" s="343">
        <v>2</v>
      </c>
      <c r="E42" s="492" t="s">
        <v>249</v>
      </c>
      <c r="F42" s="492"/>
      <c r="G42" s="492"/>
      <c r="H42" s="493"/>
      <c r="I42" s="100"/>
      <c r="J42" s="509" t="s">
        <v>315</v>
      </c>
      <c r="K42" s="510"/>
      <c r="L42" s="344">
        <v>1.1200000000000001</v>
      </c>
      <c r="N42" s="348" t="s">
        <v>322</v>
      </c>
      <c r="O42" s="349">
        <v>0.42</v>
      </c>
      <c r="P42" s="350" t="s">
        <v>333</v>
      </c>
      <c r="Q42" s="351">
        <v>2.77</v>
      </c>
      <c r="S42" s="515" t="s">
        <v>350</v>
      </c>
      <c r="T42" s="516"/>
      <c r="U42" s="352">
        <v>0.95</v>
      </c>
    </row>
    <row r="43" spans="2:24" x14ac:dyDescent="0.2">
      <c r="B43" s="494"/>
      <c r="C43" s="495"/>
      <c r="D43" s="343">
        <v>3</v>
      </c>
      <c r="E43" s="492" t="s">
        <v>250</v>
      </c>
      <c r="F43" s="492"/>
      <c r="G43" s="492"/>
      <c r="H43" s="493"/>
      <c r="J43" s="509" t="s">
        <v>316</v>
      </c>
      <c r="K43" s="510"/>
      <c r="L43" s="344">
        <v>1</v>
      </c>
      <c r="N43" s="348" t="s">
        <v>323</v>
      </c>
      <c r="O43" s="349">
        <v>0.49</v>
      </c>
      <c r="P43" s="350" t="s">
        <v>334</v>
      </c>
      <c r="Q43" s="351">
        <v>3.36</v>
      </c>
      <c r="S43" s="353"/>
      <c r="T43" s="353"/>
      <c r="U43" s="353"/>
    </row>
    <row r="44" spans="2:24" x14ac:dyDescent="0.2">
      <c r="B44" s="494" t="s">
        <v>133</v>
      </c>
      <c r="C44" s="495"/>
      <c r="D44" s="343">
        <v>1</v>
      </c>
      <c r="E44" s="492" t="s">
        <v>251</v>
      </c>
      <c r="F44" s="492"/>
      <c r="G44" s="492"/>
      <c r="H44" s="493"/>
      <c r="J44" s="509" t="s">
        <v>317</v>
      </c>
      <c r="K44" s="510"/>
      <c r="L44" s="344">
        <v>0.88</v>
      </c>
      <c r="N44" s="348" t="s">
        <v>324</v>
      </c>
      <c r="O44" s="349">
        <v>0.59</v>
      </c>
      <c r="P44" s="350" t="s">
        <v>335</v>
      </c>
      <c r="Q44" s="351">
        <v>3.88</v>
      </c>
    </row>
    <row r="45" spans="2:24" ht="13.5" thickBot="1" x14ac:dyDescent="0.25">
      <c r="B45" s="494"/>
      <c r="C45" s="495"/>
      <c r="D45" s="343">
        <v>2</v>
      </c>
      <c r="E45" s="492" t="s">
        <v>252</v>
      </c>
      <c r="F45" s="492"/>
      <c r="G45" s="492"/>
      <c r="H45" s="493"/>
      <c r="J45" s="507" t="s">
        <v>318</v>
      </c>
      <c r="K45" s="508"/>
      <c r="L45" s="352">
        <v>0.71</v>
      </c>
      <c r="N45" s="348" t="s">
        <v>325</v>
      </c>
      <c r="O45" s="349">
        <v>0.76</v>
      </c>
      <c r="P45" s="350" t="s">
        <v>336</v>
      </c>
      <c r="Q45" s="351">
        <v>4.3600000000000003</v>
      </c>
    </row>
    <row r="46" spans="2:24" x14ac:dyDescent="0.2">
      <c r="B46" s="494"/>
      <c r="C46" s="495"/>
      <c r="D46" s="343">
        <v>3</v>
      </c>
      <c r="E46" s="492" t="s">
        <v>253</v>
      </c>
      <c r="F46" s="492"/>
      <c r="G46" s="492"/>
      <c r="H46" s="493"/>
      <c r="J46" s="511" t="s">
        <v>320</v>
      </c>
      <c r="K46" s="512"/>
      <c r="L46" s="341" t="s">
        <v>321</v>
      </c>
      <c r="N46" s="348" t="s">
        <v>326</v>
      </c>
      <c r="O46" s="349">
        <v>0.94</v>
      </c>
      <c r="P46" s="350" t="s">
        <v>337</v>
      </c>
      <c r="Q46" s="351">
        <v>4.8899999999999997</v>
      </c>
    </row>
    <row r="47" spans="2:24" x14ac:dyDescent="0.2">
      <c r="B47" s="494" t="s">
        <v>238</v>
      </c>
      <c r="C47" s="495"/>
      <c r="D47" s="343">
        <v>1</v>
      </c>
      <c r="E47" s="492" t="s">
        <v>254</v>
      </c>
      <c r="F47" s="492"/>
      <c r="G47" s="492"/>
      <c r="H47" s="493"/>
      <c r="J47" s="509" t="s">
        <v>367</v>
      </c>
      <c r="K47" s="510"/>
      <c r="L47" s="344">
        <v>1</v>
      </c>
      <c r="N47" s="348" t="s">
        <v>327</v>
      </c>
      <c r="O47" s="349">
        <v>1.1399999999999999</v>
      </c>
      <c r="P47" s="350" t="s">
        <v>338</v>
      </c>
      <c r="Q47" s="351">
        <v>5.37</v>
      </c>
    </row>
    <row r="48" spans="2:24" x14ac:dyDescent="0.2">
      <c r="B48" s="494"/>
      <c r="C48" s="495"/>
      <c r="D48" s="343">
        <v>2</v>
      </c>
      <c r="E48" s="492" t="s">
        <v>255</v>
      </c>
      <c r="F48" s="492"/>
      <c r="G48" s="492"/>
      <c r="H48" s="493"/>
      <c r="J48" s="509" t="s">
        <v>368</v>
      </c>
      <c r="K48" s="510"/>
      <c r="L48" s="344">
        <v>1</v>
      </c>
      <c r="N48" s="348" t="s">
        <v>328</v>
      </c>
      <c r="O48" s="349">
        <v>1.34</v>
      </c>
      <c r="P48" s="350" t="s">
        <v>339</v>
      </c>
      <c r="Q48" s="351">
        <v>5.92</v>
      </c>
    </row>
    <row r="49" spans="2:17" x14ac:dyDescent="0.2">
      <c r="B49" s="494"/>
      <c r="C49" s="495"/>
      <c r="D49" s="343">
        <v>3</v>
      </c>
      <c r="E49" s="492" t="s">
        <v>256</v>
      </c>
      <c r="F49" s="492"/>
      <c r="G49" s="492"/>
      <c r="H49" s="493"/>
      <c r="J49" s="509" t="s">
        <v>369</v>
      </c>
      <c r="K49" s="510"/>
      <c r="L49" s="344">
        <v>0.3</v>
      </c>
      <c r="N49" s="348" t="s">
        <v>329</v>
      </c>
      <c r="O49" s="349">
        <v>1.5</v>
      </c>
      <c r="P49" s="350" t="s">
        <v>340</v>
      </c>
      <c r="Q49" s="351">
        <v>6.39</v>
      </c>
    </row>
    <row r="50" spans="2:17" x14ac:dyDescent="0.2">
      <c r="B50" s="496"/>
      <c r="C50" s="497"/>
      <c r="D50" s="354">
        <v>4</v>
      </c>
      <c r="E50" s="492" t="s">
        <v>298</v>
      </c>
      <c r="F50" s="492"/>
      <c r="G50" s="492"/>
      <c r="H50" s="493"/>
      <c r="J50" s="509" t="s">
        <v>370</v>
      </c>
      <c r="K50" s="510"/>
      <c r="L50" s="344">
        <v>0.65</v>
      </c>
      <c r="N50" s="348" t="s">
        <v>330</v>
      </c>
      <c r="O50" s="349">
        <v>1.76</v>
      </c>
      <c r="P50" s="350" t="s">
        <v>341</v>
      </c>
      <c r="Q50" s="351">
        <v>6.88</v>
      </c>
    </row>
    <row r="51" spans="2:17" ht="13.5" thickBot="1" x14ac:dyDescent="0.25">
      <c r="B51" s="496"/>
      <c r="C51" s="497"/>
      <c r="D51" s="354">
        <v>5</v>
      </c>
      <c r="E51" s="492" t="s">
        <v>299</v>
      </c>
      <c r="F51" s="492"/>
      <c r="G51" s="492"/>
      <c r="H51" s="493"/>
      <c r="J51" s="507" t="s">
        <v>371</v>
      </c>
      <c r="K51" s="508"/>
      <c r="L51" s="352">
        <v>2</v>
      </c>
      <c r="N51" s="348" t="s">
        <v>331</v>
      </c>
      <c r="O51" s="349">
        <v>2.0299999999999998</v>
      </c>
      <c r="P51" s="350" t="s">
        <v>342</v>
      </c>
      <c r="Q51" s="351">
        <v>7.3</v>
      </c>
    </row>
    <row r="52" spans="2:17" ht="13.5" thickBot="1" x14ac:dyDescent="0.25">
      <c r="B52" s="498"/>
      <c r="C52" s="499"/>
      <c r="D52" s="355">
        <v>6</v>
      </c>
      <c r="E52" s="500" t="s">
        <v>300</v>
      </c>
      <c r="F52" s="500"/>
      <c r="G52" s="500"/>
      <c r="H52" s="501"/>
      <c r="N52" s="356" t="s">
        <v>332</v>
      </c>
      <c r="O52" s="357">
        <v>2.31</v>
      </c>
      <c r="P52" s="358" t="s">
        <v>343</v>
      </c>
      <c r="Q52" s="359">
        <v>8.35</v>
      </c>
    </row>
  </sheetData>
  <sheetProtection password="A499" sheet="1"/>
  <mergeCells count="35">
    <mergeCell ref="S41:T41"/>
    <mergeCell ref="S42:T42"/>
    <mergeCell ref="S40:T40"/>
    <mergeCell ref="N39:O39"/>
    <mergeCell ref="J39:K39"/>
    <mergeCell ref="S39:T39"/>
    <mergeCell ref="J40:K40"/>
    <mergeCell ref="J41:K41"/>
    <mergeCell ref="J51:K51"/>
    <mergeCell ref="J45:K45"/>
    <mergeCell ref="J44:K44"/>
    <mergeCell ref="J43:K43"/>
    <mergeCell ref="J42:K42"/>
    <mergeCell ref="J46:K46"/>
    <mergeCell ref="J47:K47"/>
    <mergeCell ref="J48:K48"/>
    <mergeCell ref="J49:K49"/>
    <mergeCell ref="J50:K50"/>
    <mergeCell ref="B40:C40"/>
    <mergeCell ref="E40:H40"/>
    <mergeCell ref="E41:H41"/>
    <mergeCell ref="E42:H42"/>
    <mergeCell ref="E43:H43"/>
    <mergeCell ref="E51:H51"/>
    <mergeCell ref="E45:H45"/>
    <mergeCell ref="E46:H46"/>
    <mergeCell ref="B41:C43"/>
    <mergeCell ref="B44:C46"/>
    <mergeCell ref="B47:C52"/>
    <mergeCell ref="E47:H47"/>
    <mergeCell ref="E48:H48"/>
    <mergeCell ref="E49:H49"/>
    <mergeCell ref="E52:H52"/>
    <mergeCell ref="E50:H50"/>
    <mergeCell ref="E44:H44"/>
  </mergeCells>
  <phoneticPr fontId="1" type="noConversion"/>
  <dataValidations count="6">
    <dataValidation type="list" allowBlank="1" showInputMessage="1" showErrorMessage="1" sqref="E24:X24">
      <formula1>Zastaveni</formula1>
    </dataValidation>
    <dataValidation type="list" allowBlank="1" showInputMessage="1" showErrorMessage="1" sqref="E25:X25">
      <formula1>Sklon</formula1>
    </dataValidation>
    <dataValidation type="list" allowBlank="1" showInputMessage="1" showErrorMessage="1" sqref="E26:X26">
      <formula1>Rychlost</formula1>
    </dataValidation>
    <dataValidation type="list" allowBlank="1" showInputMessage="1" showErrorMessage="1" sqref="E5:X5">
      <formula1>Druh_vlaku</formula1>
    </dataValidation>
    <dataValidation type="list" allowBlank="1" showInputMessage="1" showErrorMessage="1" sqref="E6:X6">
      <formula1>Trakce</formula1>
    </dataValidation>
    <dataValidation type="list" allowBlank="1" showInputMessage="1" showErrorMessage="1" sqref="E7:X7">
      <formula1>rekuperace</formula1>
    </dataValidation>
  </dataValidations>
  <pageMargins left="0.78740157499999996" right="0.78740157499999996" top="0.984251969" bottom="0.984251969" header="0.4921259845" footer="0.4921259845"/>
  <pageSetup paperSize="192" orientation="landscape" r:id="rId1"/>
  <headerFooter alignWithMargins="0"/>
  <ignoredErrors>
    <ignoredError sqref="P21:Q21 H21 E21:G21 I21:O21 R21:X21" formulaRange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Y55"/>
  <sheetViews>
    <sheetView showGridLines="0" zoomScaleNormal="100" workbookViewId="0">
      <selection activeCell="I12" sqref="I12"/>
    </sheetView>
  </sheetViews>
  <sheetFormatPr defaultRowHeight="12.75" x14ac:dyDescent="0.2"/>
  <cols>
    <col min="1" max="1" width="2.85546875" style="2" customWidth="1"/>
    <col min="2" max="2" width="25.5703125" style="2" customWidth="1"/>
    <col min="3" max="3" width="9.140625" style="2"/>
    <col min="4" max="23" width="11.7109375" style="2" customWidth="1"/>
    <col min="24" max="16384" width="9.140625" style="2"/>
  </cols>
  <sheetData>
    <row r="2" spans="2:24" ht="13.5" thickBot="1" x14ac:dyDescent="0.25">
      <c r="B2" s="1" t="s">
        <v>280</v>
      </c>
    </row>
    <row r="3" spans="2:24" x14ac:dyDescent="0.2">
      <c r="B3" s="228" t="s">
        <v>121</v>
      </c>
      <c r="C3" s="229"/>
      <c r="D3" s="230" t="s">
        <v>17</v>
      </c>
      <c r="E3" s="105" t="s">
        <v>18</v>
      </c>
      <c r="F3" s="105" t="s">
        <v>19</v>
      </c>
      <c r="G3" s="105" t="s">
        <v>20</v>
      </c>
      <c r="H3" s="105" t="s">
        <v>21</v>
      </c>
      <c r="I3" s="105" t="s">
        <v>22</v>
      </c>
      <c r="J3" s="105" t="s">
        <v>23</v>
      </c>
      <c r="K3" s="105" t="s">
        <v>24</v>
      </c>
      <c r="L3" s="105" t="s">
        <v>25</v>
      </c>
      <c r="M3" s="105" t="s">
        <v>26</v>
      </c>
      <c r="N3" s="105" t="s">
        <v>27</v>
      </c>
      <c r="O3" s="105" t="s">
        <v>28</v>
      </c>
      <c r="P3" s="105" t="s">
        <v>29</v>
      </c>
      <c r="Q3" s="105" t="s">
        <v>30</v>
      </c>
      <c r="R3" s="105" t="s">
        <v>31</v>
      </c>
      <c r="S3" s="105" t="s">
        <v>32</v>
      </c>
      <c r="T3" s="105" t="s">
        <v>33</v>
      </c>
      <c r="U3" s="105" t="s">
        <v>34</v>
      </c>
      <c r="V3" s="105" t="s">
        <v>35</v>
      </c>
      <c r="W3" s="106" t="s">
        <v>36</v>
      </c>
    </row>
    <row r="4" spans="2:24" x14ac:dyDescent="0.2">
      <c r="B4" s="231" t="s">
        <v>53</v>
      </c>
      <c r="C4" s="107"/>
      <c r="D4" s="386" t="str">
        <f>IF('Pořízení a provozuschopnost ŽKV'!E4&lt;&gt;"",'Pořízení a provozuschopnost ŽKV'!E4,"---")</f>
        <v>S1B</v>
      </c>
      <c r="E4" s="301" t="str">
        <f>IF('Pořízení a provozuschopnost ŽKV'!F4&lt;&gt;"",'Pořízení a provozuschopnost ŽKV'!F4,"---")</f>
        <v>S5</v>
      </c>
      <c r="F4" s="301" t="str">
        <f>IF('Pořízení a provozuschopnost ŽKV'!G4&lt;&gt;"",'Pořízení a provozuschopnost ŽKV'!G4,"---")</f>
        <v>R63</v>
      </c>
      <c r="G4" s="301" t="str">
        <f>IF('Pořízení a provozuschopnost ŽKV'!H4&lt;&gt;"",'Pořízení a provozuschopnost ŽKV'!H4,"---")</f>
        <v>NEX</v>
      </c>
      <c r="H4" s="301" t="str">
        <f>IF('Pořízení a provozuschopnost ŽKV'!I4&lt;&gt;"",'Pořízení a provozuschopnost ŽKV'!I4,"---")</f>
        <v>PN</v>
      </c>
      <c r="I4" s="301" t="str">
        <f>IF('Pořízení a provozuschopnost ŽKV'!J4&lt;&gt;"",'Pořízení a provozuschopnost ŽKV'!J4,"---")</f>
        <v>---</v>
      </c>
      <c r="J4" s="301" t="str">
        <f>IF('Pořízení a provozuschopnost ŽKV'!K4&lt;&gt;"",'Pořízení a provozuschopnost ŽKV'!K4,"---")</f>
        <v>---</v>
      </c>
      <c r="K4" s="301" t="str">
        <f>IF('Pořízení a provozuschopnost ŽKV'!L4&lt;&gt;"",'Pořízení a provozuschopnost ŽKV'!L4,"---")</f>
        <v>---</v>
      </c>
      <c r="L4" s="301" t="str">
        <f>IF('Pořízení a provozuschopnost ŽKV'!M4&lt;&gt;"",'Pořízení a provozuschopnost ŽKV'!M4,"---")</f>
        <v>---</v>
      </c>
      <c r="M4" s="301" t="str">
        <f>IF('Pořízení a provozuschopnost ŽKV'!N4&lt;&gt;"",'Pořízení a provozuschopnost ŽKV'!N4,"---")</f>
        <v>---</v>
      </c>
      <c r="N4" s="301" t="str">
        <f>IF('Pořízení a provozuschopnost ŽKV'!O4&lt;&gt;"",'Pořízení a provozuschopnost ŽKV'!O4,"---")</f>
        <v>---</v>
      </c>
      <c r="O4" s="301" t="str">
        <f>IF('Pořízení a provozuschopnost ŽKV'!P4&lt;&gt;"",'Pořízení a provozuschopnost ŽKV'!P4,"---")</f>
        <v>---</v>
      </c>
      <c r="P4" s="301" t="str">
        <f>IF('Pořízení a provozuschopnost ŽKV'!Q4&lt;&gt;"",'Pořízení a provozuschopnost ŽKV'!Q4,"---")</f>
        <v>---</v>
      </c>
      <c r="Q4" s="301" t="str">
        <f>IF('Pořízení a provozuschopnost ŽKV'!R4&lt;&gt;"",'Pořízení a provozuschopnost ŽKV'!R4,"---")</f>
        <v>---</v>
      </c>
      <c r="R4" s="387" t="str">
        <f>IF('Pořízení a provozuschopnost ŽKV'!S4&lt;&gt;"",'Pořízení a provozuschopnost ŽKV'!S4,"---")</f>
        <v>---</v>
      </c>
      <c r="S4" s="387" t="str">
        <f>IF('Pořízení a provozuschopnost ŽKV'!T4&lt;&gt;"",'Pořízení a provozuschopnost ŽKV'!T4,"---")</f>
        <v>---</v>
      </c>
      <c r="T4" s="301" t="str">
        <f>IF('Pořízení a provozuschopnost ŽKV'!U4&lt;&gt;"",'Pořízení a provozuschopnost ŽKV'!U4,"---")</f>
        <v>---</v>
      </c>
      <c r="U4" s="301" t="str">
        <f>IF('Pořízení a provozuschopnost ŽKV'!V4&lt;&gt;"",'Pořízení a provozuschopnost ŽKV'!V4,"---")</f>
        <v>---</v>
      </c>
      <c r="V4" s="301" t="str">
        <f>IF('Pořízení a provozuschopnost ŽKV'!W4&lt;&gt;"",'Pořízení a provozuschopnost ŽKV'!W4,"---")</f>
        <v>---</v>
      </c>
      <c r="W4" s="302" t="str">
        <f>IF('Pořízení a provozuschopnost ŽKV'!X4&lt;&gt;"",'Pořízení a provozuschopnost ŽKV'!X4,"---")</f>
        <v>---</v>
      </c>
    </row>
    <row r="5" spans="2:24" x14ac:dyDescent="0.2">
      <c r="B5" s="116" t="s">
        <v>44</v>
      </c>
      <c r="C5" s="388"/>
      <c r="D5" s="399" t="s">
        <v>301</v>
      </c>
      <c r="E5" s="400" t="s">
        <v>301</v>
      </c>
      <c r="F5" s="400" t="s">
        <v>301</v>
      </c>
      <c r="G5" s="400" t="s">
        <v>301</v>
      </c>
      <c r="H5" s="400" t="s">
        <v>301</v>
      </c>
      <c r="I5" s="400"/>
      <c r="J5" s="400"/>
      <c r="K5" s="400"/>
      <c r="L5" s="400"/>
      <c r="M5" s="400"/>
      <c r="N5" s="400"/>
      <c r="O5" s="400"/>
      <c r="P5" s="400"/>
      <c r="Q5" s="400"/>
      <c r="R5" s="400"/>
      <c r="S5" s="400"/>
      <c r="T5" s="400"/>
      <c r="U5" s="400"/>
      <c r="V5" s="400"/>
      <c r="W5" s="401"/>
    </row>
    <row r="6" spans="2:24" x14ac:dyDescent="0.2">
      <c r="B6" s="14" t="s">
        <v>60</v>
      </c>
      <c r="C6" s="55" t="s">
        <v>61</v>
      </c>
      <c r="D6" s="389">
        <f>IF(D5&lt;&gt;"",VLOOKUP(D5,DATA!$P$7:$Q$14,2,0),"")</f>
        <v>505.4671428571429</v>
      </c>
      <c r="E6" s="390">
        <f>IF(E5&lt;&gt;"",VLOOKUP(E5,DATA!$P$7:$Q$14,2,0),"")</f>
        <v>505.4671428571429</v>
      </c>
      <c r="F6" s="391">
        <f>IF(F5&lt;&gt;"",VLOOKUP(F5,DATA!$P$7:$Q$14,2,0),"")</f>
        <v>505.4671428571429</v>
      </c>
      <c r="G6" s="391">
        <f>IF(G5&lt;&gt;"",VLOOKUP(G5,DATA!$P$7:$Q$14,2,0),"")</f>
        <v>505.4671428571429</v>
      </c>
      <c r="H6" s="391">
        <f>IF(H5&lt;&gt;"",VLOOKUP(H5,DATA!$P$7:$Q$14,2,0),"")</f>
        <v>505.4671428571429</v>
      </c>
      <c r="I6" s="391" t="str">
        <f>IF(I5&lt;&gt;"",VLOOKUP(I5,DATA!$P$7:$Q$14,2,0),"")</f>
        <v/>
      </c>
      <c r="J6" s="391" t="str">
        <f>IF(J5&lt;&gt;"",VLOOKUP(J5,DATA!$P$7:$Q$14,2,0),"")</f>
        <v/>
      </c>
      <c r="K6" s="391" t="str">
        <f>IF(K5&lt;&gt;"",VLOOKUP(K5,DATA!$P$7:$Q$14,2,0),"")</f>
        <v/>
      </c>
      <c r="L6" s="391" t="str">
        <f>IF(L5&lt;&gt;"",VLOOKUP(L5,DATA!$P$7:$Q$14,2,0),"")</f>
        <v/>
      </c>
      <c r="M6" s="391" t="str">
        <f>IF(M5&lt;&gt;"",VLOOKUP(M5,DATA!$P$7:$Q$14,2,0),"")</f>
        <v/>
      </c>
      <c r="N6" s="391" t="str">
        <f>IF(N5&lt;&gt;"",VLOOKUP(N5,DATA!$P$7:$Q$14,2,0),"")</f>
        <v/>
      </c>
      <c r="O6" s="391" t="str">
        <f>IF(O5&lt;&gt;"",VLOOKUP(O5,DATA!$P$7:$Q$14,2,0),"")</f>
        <v/>
      </c>
      <c r="P6" s="391" t="str">
        <f>IF(P5&lt;&gt;"",VLOOKUP(P5,DATA!$P$7:$Q$14,2,0),"")</f>
        <v/>
      </c>
      <c r="Q6" s="391" t="str">
        <f>IF(Q5&lt;&gt;"",VLOOKUP(Q5,DATA!$P$7:$Q$14,2,0),"")</f>
        <v/>
      </c>
      <c r="R6" s="390" t="str">
        <f>IF(R5&lt;&gt;"",VLOOKUP(R5,DATA!$P$7:$Q$14,2,0),"")</f>
        <v/>
      </c>
      <c r="S6" s="390" t="str">
        <f>IF(S5&lt;&gt;"",VLOOKUP(S5,DATA!$P$7:$Q$14,2,0),"")</f>
        <v/>
      </c>
      <c r="T6" s="390"/>
      <c r="U6" s="391" t="str">
        <f>IF(U5&lt;&gt;"",VLOOKUP(U5,DATA!$P$7:$Q$14,2,0),"")</f>
        <v/>
      </c>
      <c r="V6" s="391" t="str">
        <f>IF(V5&lt;&gt;"",VLOOKUP(V5,DATA!$P$7:$Q$14,2,0),"")</f>
        <v/>
      </c>
      <c r="W6" s="392" t="str">
        <f>IF(W5&lt;&gt;"",VLOOKUP(W5,DATA!$P$7:$Q$14,2,0),"")</f>
        <v/>
      </c>
    </row>
    <row r="7" spans="2:24" x14ac:dyDescent="0.2">
      <c r="B7" s="81" t="s">
        <v>45</v>
      </c>
      <c r="C7" s="23" t="s">
        <v>46</v>
      </c>
      <c r="D7" s="402">
        <v>1</v>
      </c>
      <c r="E7" s="403">
        <v>1</v>
      </c>
      <c r="F7" s="383">
        <v>1</v>
      </c>
      <c r="G7" s="383">
        <v>1</v>
      </c>
      <c r="H7" s="383">
        <v>1</v>
      </c>
      <c r="I7" s="383"/>
      <c r="J7" s="383"/>
      <c r="K7" s="383"/>
      <c r="L7" s="383"/>
      <c r="M7" s="383"/>
      <c r="N7" s="383"/>
      <c r="O7" s="383"/>
      <c r="P7" s="383"/>
      <c r="Q7" s="383"/>
      <c r="R7" s="403"/>
      <c r="S7" s="403"/>
      <c r="T7" s="403"/>
      <c r="U7" s="383"/>
      <c r="V7" s="383"/>
      <c r="W7" s="384"/>
    </row>
    <row r="8" spans="2:24" x14ac:dyDescent="0.2">
      <c r="B8" s="393" t="s">
        <v>128</v>
      </c>
      <c r="C8" s="388"/>
      <c r="D8" s="399" t="s">
        <v>120</v>
      </c>
      <c r="E8" s="400" t="s">
        <v>120</v>
      </c>
      <c r="F8" s="400" t="s">
        <v>120</v>
      </c>
      <c r="G8" s="400"/>
      <c r="H8" s="400"/>
      <c r="I8" s="400"/>
      <c r="J8" s="400"/>
      <c r="K8" s="400"/>
      <c r="L8" s="400"/>
      <c r="M8" s="400"/>
      <c r="N8" s="400"/>
      <c r="O8" s="400"/>
      <c r="P8" s="400"/>
      <c r="Q8" s="400"/>
      <c r="R8" s="360"/>
      <c r="S8" s="360"/>
      <c r="T8" s="400"/>
      <c r="U8" s="400"/>
      <c r="V8" s="400"/>
      <c r="W8" s="401"/>
    </row>
    <row r="9" spans="2:24" x14ac:dyDescent="0.2">
      <c r="B9" s="14" t="s">
        <v>60</v>
      </c>
      <c r="C9" s="55" t="s">
        <v>61</v>
      </c>
      <c r="D9" s="389">
        <f>IF(D8&lt;&gt;"",VLOOKUP(D8,DATA!$P$7:$Q$14,2,0),"")</f>
        <v>403.49040816326533</v>
      </c>
      <c r="E9" s="390">
        <f>IF(E8&lt;&gt;"",VLOOKUP(E8,DATA!$P$7:$Q$14,2,0),"")</f>
        <v>403.49040816326533</v>
      </c>
      <c r="F9" s="391">
        <f>IF(F8&lt;&gt;"",VLOOKUP(F8,DATA!$P$7:$Q$14,2,0),"")</f>
        <v>403.49040816326533</v>
      </c>
      <c r="G9" s="391" t="str">
        <f>IF(G8&lt;&gt;"",VLOOKUP(G8,DATA!$P$7:$Q$14,2,0),"")</f>
        <v/>
      </c>
      <c r="H9" s="391" t="str">
        <f>IF(H8&lt;&gt;"",VLOOKUP(H8,DATA!$P$7:$Q$14,2,0),"")</f>
        <v/>
      </c>
      <c r="I9" s="391" t="str">
        <f>IF(I8&lt;&gt;"",VLOOKUP(I8,DATA!$P$7:$Q$14,2,0),"")</f>
        <v/>
      </c>
      <c r="J9" s="391" t="str">
        <f>IF(J8&lt;&gt;"",VLOOKUP(J8,DATA!$P$7:$Q$14,2,0),"")</f>
        <v/>
      </c>
      <c r="K9" s="391" t="str">
        <f>IF(K8&lt;&gt;"",VLOOKUP(K8,DATA!$P$7:$Q$14,2,0),"")</f>
        <v/>
      </c>
      <c r="L9" s="391" t="str">
        <f>IF(L8&lt;&gt;"",VLOOKUP(L8,DATA!$P$7:$Q$14,2,0),"")</f>
        <v/>
      </c>
      <c r="M9" s="391" t="str">
        <f>IF(M8&lt;&gt;"",VLOOKUP(M8,DATA!$P$7:$Q$14,2,0),"")</f>
        <v/>
      </c>
      <c r="N9" s="391" t="str">
        <f>IF(N8&lt;&gt;"",VLOOKUP(N8,DATA!$P$7:$Q$14,2,0),"")</f>
        <v/>
      </c>
      <c r="O9" s="391" t="str">
        <f>IF(O8&lt;&gt;"",VLOOKUP(O8,DATA!$P$7:$Q$14,2,0),"")</f>
        <v/>
      </c>
      <c r="P9" s="391" t="str">
        <f>IF(P8&lt;&gt;"",VLOOKUP(P8,DATA!$P$7:$Q$14,2,0),"")</f>
        <v/>
      </c>
      <c r="Q9" s="391" t="str">
        <f>IF(Q8&lt;&gt;"",VLOOKUP(Q8,DATA!$P$7:$Q$14,2,0),"")</f>
        <v/>
      </c>
      <c r="R9" s="391" t="str">
        <f>IF(R8&lt;&gt;"",VLOOKUP(R8,DATA!$P$7:$Q$14,2,0),"")</f>
        <v/>
      </c>
      <c r="S9" s="391" t="str">
        <f>IF(S8&lt;&gt;"",VLOOKUP(S8,DATA!$P$7:$Q$14,2,0),"")</f>
        <v/>
      </c>
      <c r="T9" s="391" t="str">
        <f>IF(T8&lt;&gt;"",VLOOKUP(T8,DATA!$P$7:$Q$14,2,0),"")</f>
        <v/>
      </c>
      <c r="U9" s="391" t="str">
        <f>IF(U8&lt;&gt;"",VLOOKUP(U8,DATA!$P$7:$Q$14,2,0),"")</f>
        <v/>
      </c>
      <c r="V9" s="391" t="str">
        <f>IF(V8&lt;&gt;"",VLOOKUP(V8,DATA!$P$7:$Q$14,2,0),"")</f>
        <v/>
      </c>
      <c r="W9" s="392" t="str">
        <f>IF(W8&lt;&gt;"",VLOOKUP(W8,DATA!$P$7:$Q$14,2,0),"")</f>
        <v/>
      </c>
    </row>
    <row r="10" spans="2:24" x14ac:dyDescent="0.2">
      <c r="B10" s="81" t="s">
        <v>45</v>
      </c>
      <c r="C10" s="23" t="s">
        <v>46</v>
      </c>
      <c r="D10" s="402">
        <v>1</v>
      </c>
      <c r="E10" s="403">
        <v>1</v>
      </c>
      <c r="F10" s="383">
        <v>1</v>
      </c>
      <c r="G10" s="383"/>
      <c r="H10" s="383"/>
      <c r="I10" s="383"/>
      <c r="J10" s="383"/>
      <c r="K10" s="383"/>
      <c r="L10" s="383"/>
      <c r="M10" s="383"/>
      <c r="N10" s="383"/>
      <c r="O10" s="383"/>
      <c r="P10" s="383"/>
      <c r="Q10" s="383"/>
      <c r="R10" s="383"/>
      <c r="S10" s="383"/>
      <c r="T10" s="383"/>
      <c r="U10" s="383"/>
      <c r="V10" s="383"/>
      <c r="W10" s="384"/>
    </row>
    <row r="11" spans="2:24" x14ac:dyDescent="0.2">
      <c r="B11" s="393" t="s">
        <v>129</v>
      </c>
      <c r="C11" s="388"/>
      <c r="D11" s="399"/>
      <c r="E11" s="400"/>
      <c r="F11" s="400"/>
      <c r="G11" s="400"/>
      <c r="H11" s="400"/>
      <c r="I11" s="400"/>
      <c r="J11" s="400"/>
      <c r="K11" s="400"/>
      <c r="L11" s="400"/>
      <c r="M11" s="400"/>
      <c r="N11" s="400"/>
      <c r="O11" s="400"/>
      <c r="P11" s="400"/>
      <c r="Q11" s="400"/>
      <c r="R11" s="400"/>
      <c r="S11" s="400"/>
      <c r="T11" s="400"/>
      <c r="U11" s="400"/>
      <c r="V11" s="400"/>
      <c r="W11" s="401"/>
    </row>
    <row r="12" spans="2:24" x14ac:dyDescent="0.2">
      <c r="B12" s="14" t="s">
        <v>60</v>
      </c>
      <c r="C12" s="55" t="s">
        <v>61</v>
      </c>
      <c r="D12" s="389" t="str">
        <f>IF(D11&lt;&gt;"",VLOOKUP(D11,DATA!$P$7:$Q$14,2,0),"")</f>
        <v/>
      </c>
      <c r="E12" s="390" t="str">
        <f>IF(E11&lt;&gt;"",VLOOKUP(E11,DATA!$P$7:$Q$14,2,0),"")</f>
        <v/>
      </c>
      <c r="F12" s="391" t="str">
        <f>IF(F11&lt;&gt;"",VLOOKUP(F11,DATA!$P$7:$Q$14,2,0),"")</f>
        <v/>
      </c>
      <c r="G12" s="391" t="str">
        <f>IF(G11&lt;&gt;"",VLOOKUP(G11,DATA!$P$7:$Q$14,2,0),"")</f>
        <v/>
      </c>
      <c r="H12" s="391" t="str">
        <f>IF(H11&lt;&gt;"",VLOOKUP(H11,DATA!$P$7:$Q$14,2,0),"")</f>
        <v/>
      </c>
      <c r="I12" s="391" t="str">
        <f>IF(I11&lt;&gt;"",VLOOKUP(I11,DATA!$P$7:$Q$14,2,0),"")</f>
        <v/>
      </c>
      <c r="J12" s="391" t="str">
        <f>IF(J11&lt;&gt;"",VLOOKUP(J11,DATA!$P$7:$Q$14,2,0),"")</f>
        <v/>
      </c>
      <c r="K12" s="391" t="str">
        <f>IF(K11&lt;&gt;"",VLOOKUP(K11,DATA!$P$7:$Q$14,2,0),"")</f>
        <v/>
      </c>
      <c r="L12" s="391" t="str">
        <f>IF(L11&lt;&gt;"",VLOOKUP(L11,DATA!$P$7:$Q$14,2,0),"")</f>
        <v/>
      </c>
      <c r="M12" s="391" t="str">
        <f>IF(M11&lt;&gt;"",VLOOKUP(M11,DATA!$P$7:$Q$14,2,0),"")</f>
        <v/>
      </c>
      <c r="N12" s="391" t="str">
        <f>IF(N11&lt;&gt;"",VLOOKUP(N11,DATA!$P$7:$Q$14,2,0),"")</f>
        <v/>
      </c>
      <c r="O12" s="391" t="str">
        <f>IF(O11&lt;&gt;"",VLOOKUP(O11,DATA!$P$7:$Q$14,2,0),"")</f>
        <v/>
      </c>
      <c r="P12" s="391" t="str">
        <f>IF(P11&lt;&gt;"",VLOOKUP(P11,DATA!$P$7:$Q$14,2,0),"")</f>
        <v/>
      </c>
      <c r="Q12" s="391" t="str">
        <f>IF(Q11&lt;&gt;"",VLOOKUP(Q11,DATA!$P$7:$Q$14,2,0),"")</f>
        <v/>
      </c>
      <c r="R12" s="391" t="str">
        <f>IF(R11&lt;&gt;"",VLOOKUP(R11,DATA!$P$7:$Q$14,2,0),"")</f>
        <v/>
      </c>
      <c r="S12" s="391" t="str">
        <f>IF(S11&lt;&gt;"",VLOOKUP(S11,DATA!$P$7:$Q$14,2,0),"")</f>
        <v/>
      </c>
      <c r="T12" s="391" t="str">
        <f>IF(T11&lt;&gt;"",VLOOKUP(T11,DATA!$P$7:$Q$14,2,0),"")</f>
        <v/>
      </c>
      <c r="U12" s="391" t="str">
        <f>IF(U11&lt;&gt;"",VLOOKUP(U11,DATA!$P$7:$Q$14,2,0),"")</f>
        <v/>
      </c>
      <c r="V12" s="391" t="str">
        <f>IF(V11&lt;&gt;"",VLOOKUP(V11,DATA!$P$7:$Q$14,2,0),"")</f>
        <v/>
      </c>
      <c r="W12" s="392" t="str">
        <f>IF(W11&lt;&gt;"",VLOOKUP(W11,DATA!$P$7:$Q$14,2,0),"")</f>
        <v/>
      </c>
    </row>
    <row r="13" spans="2:24" x14ac:dyDescent="0.2">
      <c r="B13" s="81" t="s">
        <v>45</v>
      </c>
      <c r="C13" s="23" t="s">
        <v>46</v>
      </c>
      <c r="D13" s="402"/>
      <c r="E13" s="403"/>
      <c r="F13" s="383"/>
      <c r="G13" s="383"/>
      <c r="H13" s="383"/>
      <c r="I13" s="383"/>
      <c r="J13" s="383"/>
      <c r="K13" s="383"/>
      <c r="L13" s="383"/>
      <c r="M13" s="383"/>
      <c r="N13" s="383"/>
      <c r="O13" s="383"/>
      <c r="P13" s="383"/>
      <c r="Q13" s="383"/>
      <c r="R13" s="383"/>
      <c r="S13" s="383"/>
      <c r="T13" s="383"/>
      <c r="U13" s="383"/>
      <c r="V13" s="383"/>
      <c r="W13" s="384"/>
    </row>
    <row r="14" spans="2:24" x14ac:dyDescent="0.2">
      <c r="B14" s="393" t="s">
        <v>130</v>
      </c>
      <c r="C14" s="388"/>
      <c r="D14" s="399"/>
      <c r="E14" s="400"/>
      <c r="F14" s="400"/>
      <c r="G14" s="400"/>
      <c r="H14" s="400"/>
      <c r="I14" s="400"/>
      <c r="J14" s="400"/>
      <c r="K14" s="400"/>
      <c r="L14" s="400"/>
      <c r="M14" s="400"/>
      <c r="N14" s="400"/>
      <c r="O14" s="400"/>
      <c r="P14" s="400"/>
      <c r="Q14" s="400"/>
      <c r="R14" s="400"/>
      <c r="S14" s="400"/>
      <c r="T14" s="400"/>
      <c r="U14" s="400"/>
      <c r="V14" s="400"/>
      <c r="W14" s="401"/>
    </row>
    <row r="15" spans="2:24" x14ac:dyDescent="0.2">
      <c r="B15" s="14" t="s">
        <v>60</v>
      </c>
      <c r="C15" s="55" t="s">
        <v>61</v>
      </c>
      <c r="D15" s="389"/>
      <c r="E15" s="390" t="str">
        <f>IF(E14&lt;&gt;"",VLOOKUP(E14,DATA!$P$7:$Q$14,2,0),"")</f>
        <v/>
      </c>
      <c r="F15" s="391" t="str">
        <f>IF(F14&lt;&gt;"",VLOOKUP(F14,DATA!$P$7:$Q$14,2,0),"")</f>
        <v/>
      </c>
      <c r="G15" s="391" t="str">
        <f>IF(G14&lt;&gt;"",VLOOKUP(G14,DATA!$P$7:$Q$14,2,0),"")</f>
        <v/>
      </c>
      <c r="H15" s="391" t="str">
        <f>IF(H14&lt;&gt;"",VLOOKUP(H14,DATA!$P$7:$Q$14,2,0),"")</f>
        <v/>
      </c>
      <c r="I15" s="391" t="str">
        <f>IF(I14&lt;&gt;"",VLOOKUP(I14,DATA!$P$7:$Q$14,2,0),"")</f>
        <v/>
      </c>
      <c r="J15" s="391" t="str">
        <f>IF(J14&lt;&gt;"",VLOOKUP(J14,DATA!$P$7:$Q$14,2,0),"")</f>
        <v/>
      </c>
      <c r="K15" s="391" t="str">
        <f>IF(K14&lt;&gt;"",VLOOKUP(K14,DATA!$P$7:$Q$14,2,0),"")</f>
        <v/>
      </c>
      <c r="L15" s="391" t="str">
        <f>IF(L14&lt;&gt;"",VLOOKUP(L14,DATA!$P$7:$Q$14,2,0),"")</f>
        <v/>
      </c>
      <c r="M15" s="391" t="str">
        <f>IF(M14&lt;&gt;"",VLOOKUP(M14,DATA!$P$7:$Q$14,2,0),"")</f>
        <v/>
      </c>
      <c r="N15" s="391" t="str">
        <f>IF(N14&lt;&gt;"",VLOOKUP(N14,DATA!$P$7:$Q$14,2,0),"")</f>
        <v/>
      </c>
      <c r="O15" s="391" t="str">
        <f>IF(O14&lt;&gt;"",VLOOKUP(O14,DATA!$P$7:$Q$14,2,0),"")</f>
        <v/>
      </c>
      <c r="P15" s="391" t="str">
        <f>IF(P14&lt;&gt;"",VLOOKUP(P14,DATA!$P$7:$Q$14,2,0),"")</f>
        <v/>
      </c>
      <c r="Q15" s="391" t="str">
        <f>IF(Q14&lt;&gt;"",VLOOKUP(Q14,DATA!$P$7:$Q$14,2,0),"")</f>
        <v/>
      </c>
      <c r="R15" s="391" t="str">
        <f>IF(R14&lt;&gt;"",VLOOKUP(R14,DATA!$P$7:$Q$14,2,0),"")</f>
        <v/>
      </c>
      <c r="S15" s="391" t="str">
        <f>IF(S14&lt;&gt;"",VLOOKUP(S14,DATA!$P$7:$Q$14,2,0),"")</f>
        <v/>
      </c>
      <c r="T15" s="391" t="str">
        <f>IF(T14&lt;&gt;"",VLOOKUP(T14,DATA!$P$7:$Q$14,2,0),"")</f>
        <v/>
      </c>
      <c r="U15" s="391" t="str">
        <f>IF(U14&lt;&gt;"",VLOOKUP(U14,DATA!$P$7:$Q$14,2,0),"")</f>
        <v/>
      </c>
      <c r="V15" s="391" t="str">
        <f>IF(V14&lt;&gt;"",VLOOKUP(V14,DATA!$P$7:$Q$14,2,0),"")</f>
        <v/>
      </c>
      <c r="W15" s="392" t="str">
        <f>IF(W14&lt;&gt;"",VLOOKUP(W14,DATA!$P$7:$Q$14,2,0),"")</f>
        <v/>
      </c>
      <c r="X15" s="100"/>
    </row>
    <row r="16" spans="2:24" x14ac:dyDescent="0.2">
      <c r="B16" s="81" t="s">
        <v>45</v>
      </c>
      <c r="C16" s="23" t="s">
        <v>46</v>
      </c>
      <c r="D16" s="402"/>
      <c r="E16" s="403"/>
      <c r="F16" s="383"/>
      <c r="G16" s="383"/>
      <c r="H16" s="383"/>
      <c r="I16" s="383"/>
      <c r="J16" s="383"/>
      <c r="K16" s="383"/>
      <c r="L16" s="383"/>
      <c r="M16" s="383"/>
      <c r="N16" s="383"/>
      <c r="O16" s="383"/>
      <c r="P16" s="383"/>
      <c r="Q16" s="383"/>
      <c r="R16" s="383"/>
      <c r="S16" s="383"/>
      <c r="T16" s="383"/>
      <c r="U16" s="383"/>
      <c r="V16" s="383"/>
      <c r="W16" s="384"/>
    </row>
    <row r="17" spans="2:25" x14ac:dyDescent="0.2">
      <c r="B17" s="393" t="s">
        <v>131</v>
      </c>
      <c r="C17" s="388"/>
      <c r="D17" s="399"/>
      <c r="E17" s="400"/>
      <c r="F17" s="400"/>
      <c r="G17" s="400"/>
      <c r="H17" s="400"/>
      <c r="I17" s="400"/>
      <c r="J17" s="400"/>
      <c r="K17" s="400"/>
      <c r="L17" s="400"/>
      <c r="M17" s="400"/>
      <c r="N17" s="400"/>
      <c r="O17" s="400"/>
      <c r="P17" s="400"/>
      <c r="Q17" s="400"/>
      <c r="R17" s="400"/>
      <c r="S17" s="400"/>
      <c r="T17" s="400"/>
      <c r="U17" s="400"/>
      <c r="V17" s="400"/>
      <c r="W17" s="401"/>
    </row>
    <row r="18" spans="2:25" x14ac:dyDescent="0.2">
      <c r="B18" s="14" t="s">
        <v>60</v>
      </c>
      <c r="C18" s="55" t="s">
        <v>61</v>
      </c>
      <c r="D18" s="389" t="str">
        <f>IF(D17&lt;&gt;"",VLOOKUP(D17,DATA!$P$7:$Q$14,2,0),"")</f>
        <v/>
      </c>
      <c r="E18" s="390" t="str">
        <f>IF(E17&lt;&gt;"",VLOOKUP(E17,DATA!$P$7:$Q$14,2,0),"")</f>
        <v/>
      </c>
      <c r="F18" s="391" t="str">
        <f>IF(F17&lt;&gt;"",VLOOKUP(F17,DATA!$P$7:$Q$14,2,0),"")</f>
        <v/>
      </c>
      <c r="G18" s="391" t="str">
        <f>IF(G17&lt;&gt;"",VLOOKUP(G17,DATA!$P$7:$Q$14,2,0),"")</f>
        <v/>
      </c>
      <c r="H18" s="391" t="str">
        <f>IF(H17&lt;&gt;"",VLOOKUP(H17,DATA!$P$7:$Q$14,2,0),"")</f>
        <v/>
      </c>
      <c r="I18" s="391" t="str">
        <f>IF(I17&lt;&gt;"",VLOOKUP(I17,DATA!$P$7:$Q$14,2,0),"")</f>
        <v/>
      </c>
      <c r="J18" s="391" t="str">
        <f>IF(J17&lt;&gt;"",VLOOKUP(J17,DATA!$P$7:$Q$14,2,0),"")</f>
        <v/>
      </c>
      <c r="K18" s="391" t="str">
        <f>IF(K17&lt;&gt;"",VLOOKUP(K17,DATA!$P$7:$Q$14,2,0),"")</f>
        <v/>
      </c>
      <c r="L18" s="391" t="str">
        <f>IF(L17&lt;&gt;"",VLOOKUP(L17,DATA!$P$7:$Q$14,2,0),"")</f>
        <v/>
      </c>
      <c r="M18" s="391" t="str">
        <f>IF(M17&lt;&gt;"",VLOOKUP(M17,DATA!$P$7:$Q$14,2,0),"")</f>
        <v/>
      </c>
      <c r="N18" s="391" t="str">
        <f>IF(N17&lt;&gt;"",VLOOKUP(N17,DATA!$P$7:$Q$14,2,0),"")</f>
        <v/>
      </c>
      <c r="O18" s="391" t="str">
        <f>IF(O17&lt;&gt;"",VLOOKUP(O17,DATA!$P$7:$Q$14,2,0),"")</f>
        <v/>
      </c>
      <c r="P18" s="391" t="str">
        <f>IF(P17&lt;&gt;"",VLOOKUP(P17,DATA!$P$7:$Q$14,2,0),"")</f>
        <v/>
      </c>
      <c r="Q18" s="391" t="str">
        <f>IF(Q17&lt;&gt;"",VLOOKUP(Q17,DATA!$P$7:$Q$14,2,0),"")</f>
        <v/>
      </c>
      <c r="R18" s="391" t="str">
        <f>IF(R17&lt;&gt;"",VLOOKUP(R17,DATA!$P$7:$Q$14,2,0),"")</f>
        <v/>
      </c>
      <c r="S18" s="391" t="str">
        <f>IF(S17&lt;&gt;"",VLOOKUP(S17,DATA!$P$7:$Q$14,2,0),"")</f>
        <v/>
      </c>
      <c r="T18" s="391" t="str">
        <f>IF(T17&lt;&gt;"",VLOOKUP(T17,DATA!$P$7:$Q$14,2,0),"")</f>
        <v/>
      </c>
      <c r="U18" s="391" t="str">
        <f>IF(U17&lt;&gt;"",VLOOKUP(U17,DATA!$P$7:$Q$14,2,0),"")</f>
        <v/>
      </c>
      <c r="V18" s="391" t="str">
        <f>IF(V17&lt;&gt;"",VLOOKUP(V17,DATA!$P$7:$Q$14,2,0),"")</f>
        <v/>
      </c>
      <c r="W18" s="392" t="str">
        <f>IF(W17&lt;&gt;"",VLOOKUP(W17,DATA!$P$7:$Q$14,2,0),"")</f>
        <v/>
      </c>
    </row>
    <row r="19" spans="2:25" x14ac:dyDescent="0.2">
      <c r="B19" s="81" t="s">
        <v>45</v>
      </c>
      <c r="C19" s="23" t="s">
        <v>46</v>
      </c>
      <c r="D19" s="402"/>
      <c r="E19" s="403"/>
      <c r="F19" s="383"/>
      <c r="G19" s="383"/>
      <c r="H19" s="383"/>
      <c r="I19" s="383"/>
      <c r="J19" s="383"/>
      <c r="K19" s="383"/>
      <c r="L19" s="383"/>
      <c r="M19" s="383"/>
      <c r="N19" s="383"/>
      <c r="O19" s="383"/>
      <c r="P19" s="383"/>
      <c r="Q19" s="383"/>
      <c r="R19" s="383"/>
      <c r="S19" s="383"/>
      <c r="T19" s="383"/>
      <c r="U19" s="383"/>
      <c r="V19" s="383"/>
      <c r="W19" s="384"/>
    </row>
    <row r="20" spans="2:25" ht="13.5" thickBot="1" x14ac:dyDescent="0.25">
      <c r="B20" s="394" t="s">
        <v>122</v>
      </c>
      <c r="C20" s="28" t="s">
        <v>61</v>
      </c>
      <c r="D20" s="395">
        <f>SUMIF(D6,"&lt;&gt;")*SUMIF(D7,"&lt;&gt;")+SUMIF(D9,"&lt;&gt;")*SUMIF(D10,"&lt;&gt;")+SUMIF(D12,"&lt;&gt;")*SUMIF(D13,"&lt;&gt;")+SUMIF(D15,"&lt;&gt;")*SUMIF(D16,"&lt;&gt;")+SUMIF(D18,"&lt;&gt;")*SUMIF(D19,"&lt;&gt;")</f>
        <v>908.95755102040823</v>
      </c>
      <c r="E20" s="396">
        <f t="shared" ref="E20:W20" si="0">SUMIF(E6,"&lt;&gt;")*SUMIF(E7,"&lt;&gt;")+SUMIF(E9,"&lt;&gt;")*SUMIF(E10,"&lt;&gt;")+SUMIF(E12,"&lt;&gt;")*SUMIF(E13,"&lt;&gt;")+SUMIF(E15,"&lt;&gt;")*SUMIF(E16,"&lt;&gt;")+SUMIF(E18,"&lt;&gt;")*SUMIF(E19,"&lt;&gt;")</f>
        <v>908.95755102040823</v>
      </c>
      <c r="F20" s="396">
        <f t="shared" si="0"/>
        <v>908.95755102040823</v>
      </c>
      <c r="G20" s="396">
        <f t="shared" si="0"/>
        <v>505.4671428571429</v>
      </c>
      <c r="H20" s="396">
        <f t="shared" si="0"/>
        <v>505.4671428571429</v>
      </c>
      <c r="I20" s="396">
        <f t="shared" si="0"/>
        <v>0</v>
      </c>
      <c r="J20" s="396">
        <f t="shared" si="0"/>
        <v>0</v>
      </c>
      <c r="K20" s="396">
        <f t="shared" si="0"/>
        <v>0</v>
      </c>
      <c r="L20" s="396">
        <f t="shared" si="0"/>
        <v>0</v>
      </c>
      <c r="M20" s="396">
        <f t="shared" si="0"/>
        <v>0</v>
      </c>
      <c r="N20" s="396">
        <f t="shared" si="0"/>
        <v>0</v>
      </c>
      <c r="O20" s="396">
        <f t="shared" si="0"/>
        <v>0</v>
      </c>
      <c r="P20" s="396">
        <f t="shared" si="0"/>
        <v>0</v>
      </c>
      <c r="Q20" s="396">
        <f t="shared" si="0"/>
        <v>0</v>
      </c>
      <c r="R20" s="396">
        <f t="shared" si="0"/>
        <v>0</v>
      </c>
      <c r="S20" s="396">
        <f t="shared" si="0"/>
        <v>0</v>
      </c>
      <c r="T20" s="396">
        <f t="shared" si="0"/>
        <v>0</v>
      </c>
      <c r="U20" s="396">
        <f t="shared" si="0"/>
        <v>0</v>
      </c>
      <c r="V20" s="396">
        <f t="shared" si="0"/>
        <v>0</v>
      </c>
      <c r="W20" s="397">
        <f t="shared" si="0"/>
        <v>0</v>
      </c>
    </row>
    <row r="21" spans="2:25" x14ac:dyDescent="0.2">
      <c r="B21" s="31"/>
      <c r="C21" s="35"/>
      <c r="D21" s="100"/>
      <c r="E21" s="100"/>
      <c r="F21" s="100"/>
      <c r="G21" s="100"/>
      <c r="H21" s="100"/>
      <c r="I21" s="100"/>
      <c r="J21" s="100"/>
      <c r="K21" s="100"/>
      <c r="L21" s="100"/>
      <c r="M21" s="100"/>
      <c r="N21" s="100"/>
      <c r="O21" s="100"/>
      <c r="P21" s="100"/>
      <c r="Q21" s="100"/>
      <c r="R21" s="100"/>
      <c r="S21" s="100"/>
      <c r="T21" s="100"/>
      <c r="U21" s="100"/>
      <c r="V21" s="100"/>
      <c r="W21" s="100"/>
      <c r="X21" s="100"/>
      <c r="Y21" s="100"/>
    </row>
    <row r="22" spans="2:25" x14ac:dyDescent="0.2">
      <c r="B22" s="100"/>
      <c r="C22" s="248"/>
      <c r="D22" s="100"/>
      <c r="E22" s="100"/>
      <c r="F22" s="100"/>
      <c r="G22" s="100"/>
      <c r="H22" s="100"/>
      <c r="I22" s="100"/>
      <c r="J22" s="100"/>
      <c r="K22" s="100"/>
      <c r="L22" s="100"/>
      <c r="M22" s="100"/>
      <c r="N22" s="100"/>
      <c r="O22" s="100"/>
      <c r="P22" s="100"/>
      <c r="Q22" s="100"/>
      <c r="R22" s="100"/>
      <c r="S22" s="100"/>
      <c r="T22" s="100"/>
      <c r="U22" s="100"/>
      <c r="V22" s="100"/>
      <c r="W22" s="100"/>
      <c r="X22" s="100"/>
      <c r="Y22" s="100"/>
    </row>
    <row r="23" spans="2:25" x14ac:dyDescent="0.2">
      <c r="C23" s="3"/>
      <c r="D23" s="398"/>
    </row>
    <row r="24" spans="2:25" x14ac:dyDescent="0.2">
      <c r="C24" s="3"/>
      <c r="D24" s="398"/>
    </row>
    <row r="25" spans="2:25" x14ac:dyDescent="0.2">
      <c r="C25" s="3"/>
    </row>
    <row r="26" spans="2:25" x14ac:dyDescent="0.2">
      <c r="C26" s="3"/>
      <c r="D26" s="176"/>
    </row>
    <row r="27" spans="2:25" x14ac:dyDescent="0.2">
      <c r="C27" s="3"/>
    </row>
    <row r="28" spans="2:25" x14ac:dyDescent="0.2">
      <c r="C28" s="3"/>
    </row>
    <row r="29" spans="2:25" x14ac:dyDescent="0.2">
      <c r="C29" s="3"/>
    </row>
    <row r="30" spans="2:25" x14ac:dyDescent="0.2">
      <c r="C30" s="3"/>
    </row>
    <row r="31" spans="2:25" x14ac:dyDescent="0.2">
      <c r="C31" s="3"/>
    </row>
    <row r="32" spans="2:25" x14ac:dyDescent="0.2">
      <c r="C32" s="3"/>
    </row>
    <row r="33" spans="3:3" x14ac:dyDescent="0.2">
      <c r="C33" s="3"/>
    </row>
    <row r="34" spans="3:3" x14ac:dyDescent="0.2">
      <c r="C34" s="3"/>
    </row>
    <row r="35" spans="3:3" x14ac:dyDescent="0.2">
      <c r="C35" s="3"/>
    </row>
    <row r="36" spans="3:3" x14ac:dyDescent="0.2">
      <c r="C36" s="3"/>
    </row>
    <row r="37" spans="3:3" x14ac:dyDescent="0.2">
      <c r="C37" s="3"/>
    </row>
    <row r="38" spans="3:3" x14ac:dyDescent="0.2">
      <c r="C38" s="3"/>
    </row>
    <row r="39" spans="3:3" x14ac:dyDescent="0.2">
      <c r="C39" s="3"/>
    </row>
    <row r="40" spans="3:3" x14ac:dyDescent="0.2">
      <c r="C40" s="3"/>
    </row>
    <row r="41" spans="3:3" x14ac:dyDescent="0.2">
      <c r="C41" s="3"/>
    </row>
    <row r="42" spans="3:3" x14ac:dyDescent="0.2">
      <c r="C42" s="3"/>
    </row>
    <row r="43" spans="3:3" x14ac:dyDescent="0.2">
      <c r="C43" s="3"/>
    </row>
    <row r="44" spans="3:3" x14ac:dyDescent="0.2">
      <c r="C44" s="3"/>
    </row>
    <row r="45" spans="3:3" x14ac:dyDescent="0.2">
      <c r="C45" s="3"/>
    </row>
    <row r="46" spans="3:3" x14ac:dyDescent="0.2">
      <c r="C46" s="3"/>
    </row>
    <row r="47" spans="3:3" x14ac:dyDescent="0.2">
      <c r="C47" s="3"/>
    </row>
    <row r="48" spans="3:3" x14ac:dyDescent="0.2">
      <c r="C48" s="3"/>
    </row>
    <row r="49" spans="3:3" x14ac:dyDescent="0.2">
      <c r="C49" s="3"/>
    </row>
    <row r="50" spans="3:3" x14ac:dyDescent="0.2">
      <c r="C50" s="3"/>
    </row>
    <row r="51" spans="3:3" x14ac:dyDescent="0.2">
      <c r="C51" s="3"/>
    </row>
    <row r="52" spans="3:3" x14ac:dyDescent="0.2">
      <c r="C52" s="3"/>
    </row>
    <row r="53" spans="3:3" x14ac:dyDescent="0.2">
      <c r="C53" s="3"/>
    </row>
    <row r="54" spans="3:3" x14ac:dyDescent="0.2">
      <c r="C54" s="3"/>
    </row>
    <row r="55" spans="3:3" x14ac:dyDescent="0.2">
      <c r="C55" s="3"/>
    </row>
  </sheetData>
  <sheetProtection password="A499" sheet="1"/>
  <phoneticPr fontId="1" type="noConversion"/>
  <dataValidations count="1">
    <dataValidation type="list" allowBlank="1" showInputMessage="1" showErrorMessage="1" sqref="D17:W17 D8:W8 D14:W14 D11:W11 D5:W5">
      <formula1>Profese</formula1>
    </dataValidation>
  </dataValidations>
  <pageMargins left="0.78740157499999996" right="0.78740157499999996" top="0.984251969" bottom="0.984251969" header="0.4921259845" footer="0.4921259845"/>
  <pageSetup paperSize="192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X40"/>
  <sheetViews>
    <sheetView showGridLines="0" zoomScaleNormal="100" workbookViewId="0">
      <selection activeCell="G23" sqref="G23"/>
    </sheetView>
  </sheetViews>
  <sheetFormatPr defaultRowHeight="12.75" x14ac:dyDescent="0.2"/>
  <cols>
    <col min="1" max="1" width="2.85546875" style="2" customWidth="1"/>
    <col min="2" max="2" width="28.85546875" style="2" customWidth="1"/>
    <col min="3" max="3" width="15.28515625" style="2" customWidth="1"/>
    <col min="4" max="4" width="10.5703125" style="3" customWidth="1"/>
    <col min="5" max="24" width="11.7109375" style="2" customWidth="1"/>
    <col min="25" max="16384" width="9.140625" style="2"/>
  </cols>
  <sheetData>
    <row r="2" spans="1:24" ht="13.5" thickBot="1" x14ac:dyDescent="0.25">
      <c r="A2" s="100"/>
      <c r="B2" s="1" t="s">
        <v>281</v>
      </c>
    </row>
    <row r="3" spans="1:24" x14ac:dyDescent="0.2">
      <c r="B3" s="4" t="s">
        <v>138</v>
      </c>
      <c r="C3" s="5"/>
      <c r="D3" s="6"/>
      <c r="E3" s="7" t="s">
        <v>17</v>
      </c>
      <c r="F3" s="6" t="s">
        <v>18</v>
      </c>
      <c r="G3" s="6" t="s">
        <v>19</v>
      </c>
      <c r="H3" s="6" t="s">
        <v>20</v>
      </c>
      <c r="I3" s="6" t="s">
        <v>21</v>
      </c>
      <c r="J3" s="6" t="s">
        <v>22</v>
      </c>
      <c r="K3" s="6" t="s">
        <v>23</v>
      </c>
      <c r="L3" s="6" t="s">
        <v>24</v>
      </c>
      <c r="M3" s="6" t="s">
        <v>25</v>
      </c>
      <c r="N3" s="6" t="s">
        <v>26</v>
      </c>
      <c r="O3" s="6" t="s">
        <v>27</v>
      </c>
      <c r="P3" s="6" t="s">
        <v>28</v>
      </c>
      <c r="Q3" s="6" t="s">
        <v>29</v>
      </c>
      <c r="R3" s="6" t="s">
        <v>30</v>
      </c>
      <c r="S3" s="6" t="s">
        <v>31</v>
      </c>
      <c r="T3" s="6" t="s">
        <v>32</v>
      </c>
      <c r="U3" s="6" t="s">
        <v>33</v>
      </c>
      <c r="V3" s="6" t="s">
        <v>34</v>
      </c>
      <c r="W3" s="6" t="s">
        <v>35</v>
      </c>
      <c r="X3" s="8" t="s">
        <v>36</v>
      </c>
    </row>
    <row r="4" spans="1:24" x14ac:dyDescent="0.2">
      <c r="B4" s="9" t="s">
        <v>53</v>
      </c>
      <c r="C4" s="10"/>
      <c r="D4" s="11"/>
      <c r="E4" s="12" t="str">
        <f>IF('Pořízení a provozuschopnost ŽKV'!E4&lt;&gt;"",'Pořízení a provozuschopnost ŽKV'!E4,"---")</f>
        <v>S1B</v>
      </c>
      <c r="F4" s="12" t="str">
        <f>IF('Pořízení a provozuschopnost ŽKV'!F4&lt;&gt;"",'Pořízení a provozuschopnost ŽKV'!F4,"---")</f>
        <v>S5</v>
      </c>
      <c r="G4" s="12" t="str">
        <f>IF('Pořízení a provozuschopnost ŽKV'!G4&lt;&gt;"",'Pořízení a provozuschopnost ŽKV'!G4,"---")</f>
        <v>R63</v>
      </c>
      <c r="H4" s="12" t="str">
        <f>IF('Pořízení a provozuschopnost ŽKV'!H4&lt;&gt;"",'Pořízení a provozuschopnost ŽKV'!H4,"---")</f>
        <v>NEX</v>
      </c>
      <c r="I4" s="12" t="str">
        <f>IF('Pořízení a provozuschopnost ŽKV'!I4&lt;&gt;"",'Pořízení a provozuschopnost ŽKV'!I4,"---")</f>
        <v>PN</v>
      </c>
      <c r="J4" s="12" t="str">
        <f>IF('Pořízení a provozuschopnost ŽKV'!J4&lt;&gt;"",'Pořízení a provozuschopnost ŽKV'!J4,"---")</f>
        <v>---</v>
      </c>
      <c r="K4" s="12" t="str">
        <f>IF('Pořízení a provozuschopnost ŽKV'!K4&lt;&gt;"",'Pořízení a provozuschopnost ŽKV'!K4,"---")</f>
        <v>---</v>
      </c>
      <c r="L4" s="12" t="str">
        <f>IF('Pořízení a provozuschopnost ŽKV'!L4&lt;&gt;"",'Pořízení a provozuschopnost ŽKV'!L4,"---")</f>
        <v>---</v>
      </c>
      <c r="M4" s="12" t="str">
        <f>IF('Pořízení a provozuschopnost ŽKV'!M4&lt;&gt;"",'Pořízení a provozuschopnost ŽKV'!M4,"---")</f>
        <v>---</v>
      </c>
      <c r="N4" s="12" t="str">
        <f>IF('Pořízení a provozuschopnost ŽKV'!N4&lt;&gt;"",'Pořízení a provozuschopnost ŽKV'!N4,"---")</f>
        <v>---</v>
      </c>
      <c r="O4" s="12" t="str">
        <f>IF('Pořízení a provozuschopnost ŽKV'!O4&lt;&gt;"",'Pořízení a provozuschopnost ŽKV'!O4,"---")</f>
        <v>---</v>
      </c>
      <c r="P4" s="12" t="str">
        <f>IF('Pořízení a provozuschopnost ŽKV'!P4&lt;&gt;"",'Pořízení a provozuschopnost ŽKV'!P4,"---")</f>
        <v>---</v>
      </c>
      <c r="Q4" s="12" t="str">
        <f>IF('Pořízení a provozuschopnost ŽKV'!Q4&lt;&gt;"",'Pořízení a provozuschopnost ŽKV'!Q4,"---")</f>
        <v>---</v>
      </c>
      <c r="R4" s="12" t="str">
        <f>IF('Pořízení a provozuschopnost ŽKV'!R4&lt;&gt;"",'Pořízení a provozuschopnost ŽKV'!R4,"---")</f>
        <v>---</v>
      </c>
      <c r="S4" s="12" t="str">
        <f>IF('Pořízení a provozuschopnost ŽKV'!S4&lt;&gt;"",'Pořízení a provozuschopnost ŽKV'!S4,"---")</f>
        <v>---</v>
      </c>
      <c r="T4" s="12" t="str">
        <f>IF('Pořízení a provozuschopnost ŽKV'!T4&lt;&gt;"",'Pořízení a provozuschopnost ŽKV'!T4,"---")</f>
        <v>---</v>
      </c>
      <c r="U4" s="12" t="str">
        <f>IF('Pořízení a provozuschopnost ŽKV'!U4&lt;&gt;"",'Pořízení a provozuschopnost ŽKV'!U4,"---")</f>
        <v>---</v>
      </c>
      <c r="V4" s="12" t="str">
        <f>IF('Pořízení a provozuschopnost ŽKV'!V4&lt;&gt;"",'Pořízení a provozuschopnost ŽKV'!V4,"---")</f>
        <v>---</v>
      </c>
      <c r="W4" s="12" t="str">
        <f>IF('Pořízení a provozuschopnost ŽKV'!W4&lt;&gt;"",'Pořízení a provozuschopnost ŽKV'!W4,"---")</f>
        <v>---</v>
      </c>
      <c r="X4" s="13" t="str">
        <f>IF('Pořízení a provozuschopnost ŽKV'!X4&lt;&gt;"",'Pořízení a provozuschopnost ŽKV'!X4,"---")</f>
        <v>---</v>
      </c>
    </row>
    <row r="5" spans="1:24" x14ac:dyDescent="0.2">
      <c r="B5" s="14" t="s">
        <v>3</v>
      </c>
      <c r="C5" s="15"/>
      <c r="D5" s="16"/>
      <c r="E5" s="17" t="str">
        <f>'Parametry jízdy vlaku'!E5</f>
        <v>osobní</v>
      </c>
      <c r="F5" s="17" t="str">
        <f>'Parametry jízdy vlaku'!F5</f>
        <v>osobní</v>
      </c>
      <c r="G5" s="17" t="str">
        <f>'Parametry jízdy vlaku'!G5</f>
        <v>osobní</v>
      </c>
      <c r="H5" s="17" t="str">
        <f>'Parametry jízdy vlaku'!H5</f>
        <v>nákladní</v>
      </c>
      <c r="I5" s="17" t="str">
        <f>'Parametry jízdy vlaku'!I5</f>
        <v>nákladní</v>
      </c>
      <c r="J5" s="17">
        <f>'Parametry jízdy vlaku'!J5</f>
        <v>0</v>
      </c>
      <c r="K5" s="17">
        <f>'Parametry jízdy vlaku'!K5</f>
        <v>0</v>
      </c>
      <c r="L5" s="17">
        <f>'Parametry jízdy vlaku'!L5</f>
        <v>0</v>
      </c>
      <c r="M5" s="17">
        <f>'Parametry jízdy vlaku'!M5</f>
        <v>0</v>
      </c>
      <c r="N5" s="17">
        <f>'Parametry jízdy vlaku'!N5</f>
        <v>0</v>
      </c>
      <c r="O5" s="17">
        <f>'Parametry jízdy vlaku'!O5</f>
        <v>0</v>
      </c>
      <c r="P5" s="17">
        <f>'Parametry jízdy vlaku'!P5</f>
        <v>0</v>
      </c>
      <c r="Q5" s="17">
        <f>'Parametry jízdy vlaku'!Q5</f>
        <v>0</v>
      </c>
      <c r="R5" s="17">
        <f>'Parametry jízdy vlaku'!R5</f>
        <v>0</v>
      </c>
      <c r="S5" s="17">
        <f>'Parametry jízdy vlaku'!S5</f>
        <v>0</v>
      </c>
      <c r="T5" s="17">
        <f>'Parametry jízdy vlaku'!T5</f>
        <v>0</v>
      </c>
      <c r="U5" s="17">
        <f>'Parametry jízdy vlaku'!U5</f>
        <v>0</v>
      </c>
      <c r="V5" s="17">
        <f>'Parametry jízdy vlaku'!V5</f>
        <v>0</v>
      </c>
      <c r="W5" s="17">
        <f>'Parametry jízdy vlaku'!W5</f>
        <v>0</v>
      </c>
      <c r="X5" s="18">
        <f>'Parametry jízdy vlaku'!X5</f>
        <v>0</v>
      </c>
    </row>
    <row r="6" spans="1:24" x14ac:dyDescent="0.2">
      <c r="B6" s="19" t="s">
        <v>10</v>
      </c>
      <c r="C6" s="20"/>
      <c r="D6" s="16"/>
      <c r="E6" s="17" t="str">
        <f>'Parametry jízdy vlaku'!E6</f>
        <v>el.ss</v>
      </c>
      <c r="F6" s="17" t="str">
        <f>'Parametry jízdy vlaku'!F6</f>
        <v>el.ss</v>
      </c>
      <c r="G6" s="17" t="str">
        <f>'Parametry jízdy vlaku'!G6</f>
        <v>el.ss</v>
      </c>
      <c r="H6" s="17" t="str">
        <f>'Parametry jízdy vlaku'!H6</f>
        <v>el.ss</v>
      </c>
      <c r="I6" s="17" t="str">
        <f>'Parametry jízdy vlaku'!I6</f>
        <v>el.ss</v>
      </c>
      <c r="J6" s="17">
        <f>'Parametry jízdy vlaku'!J6</f>
        <v>0</v>
      </c>
      <c r="K6" s="17">
        <f>'Parametry jízdy vlaku'!K6</f>
        <v>0</v>
      </c>
      <c r="L6" s="17">
        <f>'Parametry jízdy vlaku'!L6</f>
        <v>0</v>
      </c>
      <c r="M6" s="17">
        <f>'Parametry jízdy vlaku'!M6</f>
        <v>0</v>
      </c>
      <c r="N6" s="17">
        <f>'Parametry jízdy vlaku'!N6</f>
        <v>0</v>
      </c>
      <c r="O6" s="17">
        <f>'Parametry jízdy vlaku'!O6</f>
        <v>0</v>
      </c>
      <c r="P6" s="17">
        <f>'Parametry jízdy vlaku'!P6</f>
        <v>0</v>
      </c>
      <c r="Q6" s="17">
        <f>'Parametry jízdy vlaku'!Q6</f>
        <v>0</v>
      </c>
      <c r="R6" s="17">
        <f>'Parametry jízdy vlaku'!R6</f>
        <v>0</v>
      </c>
      <c r="S6" s="17">
        <f>'Parametry jízdy vlaku'!S6</f>
        <v>0</v>
      </c>
      <c r="T6" s="17">
        <f>'Parametry jízdy vlaku'!T6</f>
        <v>0</v>
      </c>
      <c r="U6" s="17">
        <f>'Parametry jízdy vlaku'!U6</f>
        <v>0</v>
      </c>
      <c r="V6" s="17">
        <f>'Parametry jízdy vlaku'!V6</f>
        <v>0</v>
      </c>
      <c r="W6" s="17">
        <f>'Parametry jízdy vlaku'!W6</f>
        <v>0</v>
      </c>
      <c r="X6" s="18">
        <f>'Parametry jízdy vlaku'!X6</f>
        <v>0</v>
      </c>
    </row>
    <row r="7" spans="1:24" x14ac:dyDescent="0.2">
      <c r="B7" s="21" t="s">
        <v>11</v>
      </c>
      <c r="C7" s="22"/>
      <c r="D7" s="23" t="s">
        <v>13</v>
      </c>
      <c r="E7" s="24">
        <f>'Parametry jízdy vlaku'!E8</f>
        <v>320</v>
      </c>
      <c r="F7" s="24">
        <f>'Parametry jízdy vlaku'!F8</f>
        <v>320</v>
      </c>
      <c r="G7" s="24">
        <f>'Parametry jízdy vlaku'!G8</f>
        <v>320</v>
      </c>
      <c r="H7" s="24">
        <f>'Parametry jízdy vlaku'!H8</f>
        <v>820</v>
      </c>
      <c r="I7" s="24">
        <f>'Parametry jízdy vlaku'!I8</f>
        <v>820</v>
      </c>
      <c r="J7" s="24">
        <f>'Parametry jízdy vlaku'!J8</f>
        <v>0</v>
      </c>
      <c r="K7" s="24">
        <f>'Parametry jízdy vlaku'!K8</f>
        <v>0</v>
      </c>
      <c r="L7" s="24">
        <f>'Parametry jízdy vlaku'!L8</f>
        <v>0</v>
      </c>
      <c r="M7" s="24">
        <f>'Parametry jízdy vlaku'!M8</f>
        <v>0</v>
      </c>
      <c r="N7" s="24">
        <f>'Parametry jízdy vlaku'!N8</f>
        <v>0</v>
      </c>
      <c r="O7" s="24">
        <f>'Parametry jízdy vlaku'!O8</f>
        <v>0</v>
      </c>
      <c r="P7" s="24">
        <f>'Parametry jízdy vlaku'!P8</f>
        <v>0</v>
      </c>
      <c r="Q7" s="24">
        <f>'Parametry jízdy vlaku'!Q8</f>
        <v>0</v>
      </c>
      <c r="R7" s="24">
        <f>'Parametry jízdy vlaku'!R8</f>
        <v>0</v>
      </c>
      <c r="S7" s="24">
        <f>'Parametry jízdy vlaku'!S8</f>
        <v>0</v>
      </c>
      <c r="T7" s="24">
        <f>'Parametry jízdy vlaku'!T8</f>
        <v>0</v>
      </c>
      <c r="U7" s="24">
        <f>'Parametry jízdy vlaku'!U8</f>
        <v>0</v>
      </c>
      <c r="V7" s="24">
        <f>'Parametry jízdy vlaku'!V8</f>
        <v>0</v>
      </c>
      <c r="W7" s="24">
        <f>'Parametry jízdy vlaku'!W8</f>
        <v>0</v>
      </c>
      <c r="X7" s="25">
        <f>'Parametry jízdy vlaku'!X8</f>
        <v>0</v>
      </c>
    </row>
    <row r="8" spans="1:24" ht="13.5" thickBot="1" x14ac:dyDescent="0.25">
      <c r="B8" s="26" t="s">
        <v>374</v>
      </c>
      <c r="C8" s="27"/>
      <c r="D8" s="28" t="s">
        <v>14</v>
      </c>
      <c r="E8" s="29">
        <f>'Parametry jízdy vlaku'!E34</f>
        <v>12</v>
      </c>
      <c r="F8" s="29">
        <f>'Parametry jízdy vlaku'!F34</f>
        <v>12</v>
      </c>
      <c r="G8" s="29">
        <f>'Parametry jízdy vlaku'!G34</f>
        <v>12</v>
      </c>
      <c r="H8" s="29">
        <f>'Parametry jízdy vlaku'!H34</f>
        <v>12</v>
      </c>
      <c r="I8" s="29">
        <f>'Parametry jízdy vlaku'!I34</f>
        <v>12</v>
      </c>
      <c r="J8" s="29">
        <f>'Parametry jízdy vlaku'!J34</f>
        <v>0</v>
      </c>
      <c r="K8" s="29">
        <f>'Parametry jízdy vlaku'!K34</f>
        <v>0</v>
      </c>
      <c r="L8" s="29">
        <f>'Parametry jízdy vlaku'!L34</f>
        <v>0</v>
      </c>
      <c r="M8" s="29">
        <f>'Parametry jízdy vlaku'!M34</f>
        <v>0</v>
      </c>
      <c r="N8" s="29">
        <f>'Parametry jízdy vlaku'!N34</f>
        <v>0</v>
      </c>
      <c r="O8" s="29">
        <f>'Parametry jízdy vlaku'!O34</f>
        <v>0</v>
      </c>
      <c r="P8" s="29">
        <f>'Parametry jízdy vlaku'!P34</f>
        <v>0</v>
      </c>
      <c r="Q8" s="29">
        <f>'Parametry jízdy vlaku'!Q34</f>
        <v>0</v>
      </c>
      <c r="R8" s="29">
        <f>'Parametry jízdy vlaku'!R34</f>
        <v>0</v>
      </c>
      <c r="S8" s="29">
        <f>'Parametry jízdy vlaku'!S34</f>
        <v>0</v>
      </c>
      <c r="T8" s="29">
        <f>'Parametry jízdy vlaku'!T34</f>
        <v>0</v>
      </c>
      <c r="U8" s="29">
        <f>'Parametry jízdy vlaku'!U34</f>
        <v>0</v>
      </c>
      <c r="V8" s="29">
        <f>'Parametry jízdy vlaku'!V34</f>
        <v>0</v>
      </c>
      <c r="W8" s="29">
        <f>'Parametry jízdy vlaku'!W34</f>
        <v>0</v>
      </c>
      <c r="X8" s="30">
        <f>'Parametry jízdy vlaku'!X34</f>
        <v>0</v>
      </c>
    </row>
    <row r="9" spans="1:24" x14ac:dyDescent="0.2">
      <c r="B9" s="31"/>
      <c r="C9" s="32"/>
      <c r="D9" s="33"/>
      <c r="E9" s="34"/>
      <c r="F9" s="34"/>
      <c r="G9" s="34"/>
      <c r="H9" s="34"/>
      <c r="I9" s="34"/>
      <c r="J9" s="34"/>
      <c r="K9" s="34"/>
      <c r="L9" s="34"/>
      <c r="M9" s="34"/>
      <c r="N9" s="34"/>
      <c r="O9" s="34"/>
      <c r="P9" s="34"/>
      <c r="Q9" s="34"/>
      <c r="R9" s="34"/>
      <c r="S9" s="34"/>
      <c r="T9" s="34"/>
      <c r="U9" s="34"/>
      <c r="V9" s="34"/>
      <c r="W9" s="34"/>
      <c r="X9" s="34"/>
    </row>
    <row r="10" spans="1:24" ht="13.5" thickBot="1" x14ac:dyDescent="0.25">
      <c r="B10" s="1" t="s">
        <v>282</v>
      </c>
      <c r="C10" s="32"/>
      <c r="D10" s="35"/>
      <c r="E10" s="32"/>
      <c r="F10" s="32"/>
      <c r="G10" s="32"/>
      <c r="H10" s="32"/>
      <c r="I10" s="32"/>
      <c r="J10" s="32"/>
      <c r="K10" s="32"/>
      <c r="L10" s="32"/>
      <c r="M10" s="32"/>
      <c r="N10" s="32"/>
      <c r="O10" s="32"/>
      <c r="P10" s="32"/>
      <c r="Q10" s="32"/>
      <c r="R10" s="32"/>
      <c r="S10" s="32"/>
      <c r="T10" s="32"/>
      <c r="U10" s="32"/>
      <c r="V10" s="32"/>
      <c r="W10" s="32"/>
      <c r="X10" s="32"/>
    </row>
    <row r="11" spans="1:24" ht="15.75" thickBot="1" x14ac:dyDescent="0.25">
      <c r="B11" s="520" t="s">
        <v>48</v>
      </c>
      <c r="C11" s="521"/>
      <c r="D11" s="521"/>
      <c r="E11" s="36" t="str">
        <f>E4</f>
        <v>S1B</v>
      </c>
      <c r="F11" s="37" t="str">
        <f t="shared" ref="F11:X11" si="0">F4</f>
        <v>S5</v>
      </c>
      <c r="G11" s="37" t="str">
        <f t="shared" si="0"/>
        <v>R63</v>
      </c>
      <c r="H11" s="37" t="str">
        <f t="shared" si="0"/>
        <v>NEX</v>
      </c>
      <c r="I11" s="37" t="str">
        <f t="shared" si="0"/>
        <v>PN</v>
      </c>
      <c r="J11" s="37" t="str">
        <f t="shared" si="0"/>
        <v>---</v>
      </c>
      <c r="K11" s="37" t="str">
        <f t="shared" si="0"/>
        <v>---</v>
      </c>
      <c r="L11" s="37" t="str">
        <f t="shared" si="0"/>
        <v>---</v>
      </c>
      <c r="M11" s="37" t="str">
        <f t="shared" si="0"/>
        <v>---</v>
      </c>
      <c r="N11" s="37" t="str">
        <f t="shared" si="0"/>
        <v>---</v>
      </c>
      <c r="O11" s="37" t="str">
        <f t="shared" si="0"/>
        <v>---</v>
      </c>
      <c r="P11" s="37" t="str">
        <f t="shared" si="0"/>
        <v>---</v>
      </c>
      <c r="Q11" s="37" t="str">
        <f t="shared" si="0"/>
        <v>---</v>
      </c>
      <c r="R11" s="37" t="str">
        <f t="shared" si="0"/>
        <v>---</v>
      </c>
      <c r="S11" s="37" t="str">
        <f t="shared" si="0"/>
        <v>---</v>
      </c>
      <c r="T11" s="37" t="str">
        <f t="shared" si="0"/>
        <v>---</v>
      </c>
      <c r="U11" s="37" t="str">
        <f t="shared" si="0"/>
        <v>---</v>
      </c>
      <c r="V11" s="37" t="str">
        <f t="shared" si="0"/>
        <v>---</v>
      </c>
      <c r="W11" s="37" t="str">
        <f t="shared" si="0"/>
        <v>---</v>
      </c>
      <c r="X11" s="38" t="str">
        <f t="shared" si="0"/>
        <v>---</v>
      </c>
    </row>
    <row r="12" spans="1:24" x14ac:dyDescent="0.2">
      <c r="B12" s="39" t="s">
        <v>12</v>
      </c>
      <c r="C12" s="40"/>
      <c r="D12" s="41" t="s">
        <v>16</v>
      </c>
      <c r="E12" s="42">
        <f>IF(ISNUMBER('Parametry jízdy vlaku'!E20),'Parametry jízdy vlaku'!E20,"-")</f>
        <v>230.39399999999995</v>
      </c>
      <c r="F12" s="42">
        <f>IF(ISNUMBER('Parametry jízdy vlaku'!F20),'Parametry jízdy vlaku'!F20,"-")</f>
        <v>230.39399999999995</v>
      </c>
      <c r="G12" s="42">
        <f>IF(ISNUMBER('Parametry jízdy vlaku'!G20),'Parametry jízdy vlaku'!G20,"-")</f>
        <v>230.39399999999995</v>
      </c>
      <c r="H12" s="42">
        <f>IF(ISNUMBER('Parametry jízdy vlaku'!H20),'Parametry jízdy vlaku'!H20,"-")</f>
        <v>1686.2879999999996</v>
      </c>
      <c r="I12" s="42">
        <f>IF(ISNUMBER('Parametry jízdy vlaku'!I20),'Parametry jízdy vlaku'!I20,"-")</f>
        <v>1316.1869999999999</v>
      </c>
      <c r="J12" s="42" t="str">
        <f>IF(ISNUMBER('Parametry jízdy vlaku'!J20),'Parametry jízdy vlaku'!J20,"-")</f>
        <v>-</v>
      </c>
      <c r="K12" s="42" t="str">
        <f>IF(ISNUMBER('Parametry jízdy vlaku'!K20),'Parametry jízdy vlaku'!K20,"-")</f>
        <v>-</v>
      </c>
      <c r="L12" s="42" t="str">
        <f>IF(ISNUMBER('Parametry jízdy vlaku'!L20),'Parametry jízdy vlaku'!L20,"-")</f>
        <v>-</v>
      </c>
      <c r="M12" s="42" t="str">
        <f>IF(ISNUMBER('Parametry jízdy vlaku'!M20),'Parametry jízdy vlaku'!M20,"-")</f>
        <v>-</v>
      </c>
      <c r="N12" s="42" t="str">
        <f>IF(ISNUMBER('Parametry jízdy vlaku'!N20),'Parametry jízdy vlaku'!N20,"-")</f>
        <v>-</v>
      </c>
      <c r="O12" s="42" t="str">
        <f>IF(ISNUMBER('Parametry jízdy vlaku'!O20),'Parametry jízdy vlaku'!O20,"-")</f>
        <v>-</v>
      </c>
      <c r="P12" s="42" t="str">
        <f>IF(ISNUMBER('Parametry jízdy vlaku'!P20),'Parametry jízdy vlaku'!P20,"-")</f>
        <v>-</v>
      </c>
      <c r="Q12" s="42" t="str">
        <f>IF(ISNUMBER('Parametry jízdy vlaku'!Q20),'Parametry jízdy vlaku'!Q20,"-")</f>
        <v>-</v>
      </c>
      <c r="R12" s="42" t="str">
        <f>IF(ISNUMBER('Parametry jízdy vlaku'!R20),'Parametry jízdy vlaku'!R20,"-")</f>
        <v>-</v>
      </c>
      <c r="S12" s="42" t="str">
        <f>IF(ISNUMBER('Parametry jízdy vlaku'!S20),'Parametry jízdy vlaku'!S20,"-")</f>
        <v>-</v>
      </c>
      <c r="T12" s="42" t="str">
        <f>IF(ISNUMBER('Parametry jízdy vlaku'!T20),'Parametry jízdy vlaku'!T20,"-")</f>
        <v>-</v>
      </c>
      <c r="U12" s="42" t="str">
        <f>IF(ISNUMBER('Parametry jízdy vlaku'!U20),'Parametry jízdy vlaku'!U20,"-")</f>
        <v>-</v>
      </c>
      <c r="V12" s="42" t="str">
        <f>IF(ISNUMBER('Parametry jízdy vlaku'!V20),'Parametry jízdy vlaku'!V20,"-")</f>
        <v>-</v>
      </c>
      <c r="W12" s="42" t="str">
        <f>IF(ISNUMBER('Parametry jízdy vlaku'!W20),'Parametry jízdy vlaku'!W20,"-")</f>
        <v>-</v>
      </c>
      <c r="X12" s="43" t="str">
        <f>IF(ISNUMBER('Parametry jízdy vlaku'!X20),'Parametry jízdy vlaku'!X20,"-")</f>
        <v>-</v>
      </c>
    </row>
    <row r="13" spans="1:24" ht="13.5" thickBot="1" x14ac:dyDescent="0.25">
      <c r="B13" s="26" t="s">
        <v>146</v>
      </c>
      <c r="C13" s="27"/>
      <c r="D13" s="28" t="s">
        <v>155</v>
      </c>
      <c r="E13" s="44">
        <f>IF(ISNUMBER('Parametry jízdy vlaku'!E21),'Parametry jízdy vlaku'!E21,"-")</f>
        <v>19.199499999999997</v>
      </c>
      <c r="F13" s="44">
        <f>IF(ISNUMBER('Parametry jízdy vlaku'!F21),'Parametry jízdy vlaku'!F21,"-")</f>
        <v>19.199499999999997</v>
      </c>
      <c r="G13" s="44">
        <f>IF(ISNUMBER('Parametry jízdy vlaku'!G21),'Parametry jízdy vlaku'!G21,"-")</f>
        <v>19.199499999999997</v>
      </c>
      <c r="H13" s="44">
        <f>IF(ISNUMBER('Parametry jízdy vlaku'!H21),'Parametry jízdy vlaku'!H21,"-")</f>
        <v>140.52399999999997</v>
      </c>
      <c r="I13" s="44">
        <f>IF(ISNUMBER('Parametry jízdy vlaku'!I21),'Parametry jízdy vlaku'!I21,"-")</f>
        <v>109.68225</v>
      </c>
      <c r="J13" s="44" t="str">
        <f>IF(ISNUMBER('Parametry jízdy vlaku'!J21),'Parametry jízdy vlaku'!J21,"-")</f>
        <v>-</v>
      </c>
      <c r="K13" s="44" t="str">
        <f>IF(ISNUMBER('Parametry jízdy vlaku'!K21),'Parametry jízdy vlaku'!K21,"-")</f>
        <v>-</v>
      </c>
      <c r="L13" s="44" t="str">
        <f>IF(ISNUMBER('Parametry jízdy vlaku'!L21),'Parametry jízdy vlaku'!L21,"-")</f>
        <v>-</v>
      </c>
      <c r="M13" s="44" t="str">
        <f>IF(ISNUMBER('Parametry jízdy vlaku'!M21),'Parametry jízdy vlaku'!M21,"-")</f>
        <v>-</v>
      </c>
      <c r="N13" s="44" t="str">
        <f>IF(ISNUMBER('Parametry jízdy vlaku'!N21),'Parametry jízdy vlaku'!N21,"-")</f>
        <v>-</v>
      </c>
      <c r="O13" s="44" t="str">
        <f>IF(ISNUMBER('Parametry jízdy vlaku'!O21),'Parametry jízdy vlaku'!O21,"-")</f>
        <v>-</v>
      </c>
      <c r="P13" s="44" t="str">
        <f>IF(ISNUMBER('Parametry jízdy vlaku'!P21),'Parametry jízdy vlaku'!P21,"-")</f>
        <v>-</v>
      </c>
      <c r="Q13" s="44" t="str">
        <f>IF(ISNUMBER('Parametry jízdy vlaku'!Q21),'Parametry jízdy vlaku'!Q21,"-")</f>
        <v>-</v>
      </c>
      <c r="R13" s="44" t="str">
        <f>IF(ISNUMBER('Parametry jízdy vlaku'!R21),'Parametry jízdy vlaku'!R21,"-")</f>
        <v>-</v>
      </c>
      <c r="S13" s="44" t="str">
        <f>IF(ISNUMBER('Parametry jízdy vlaku'!S21),'Parametry jízdy vlaku'!S21,"-")</f>
        <v>-</v>
      </c>
      <c r="T13" s="44" t="str">
        <f>IF(ISNUMBER('Parametry jízdy vlaku'!T21),'Parametry jízdy vlaku'!T21,"-")</f>
        <v>-</v>
      </c>
      <c r="U13" s="44" t="str">
        <f>IF(ISNUMBER('Parametry jízdy vlaku'!U21),'Parametry jízdy vlaku'!U21,"-")</f>
        <v>-</v>
      </c>
      <c r="V13" s="44" t="str">
        <f>IF(ISNUMBER('Parametry jízdy vlaku'!V21),'Parametry jízdy vlaku'!V21,"-")</f>
        <v>-</v>
      </c>
      <c r="W13" s="44" t="str">
        <f>IF(ISNUMBER('Parametry jízdy vlaku'!W21),'Parametry jízdy vlaku'!W21,"-")</f>
        <v>-</v>
      </c>
      <c r="X13" s="30" t="str">
        <f>IF(ISNUMBER('Parametry jízdy vlaku'!X21),'Parametry jízdy vlaku'!X21,"-")</f>
        <v>-</v>
      </c>
    </row>
    <row r="15" spans="1:24" ht="13.5" thickBot="1" x14ac:dyDescent="0.25">
      <c r="B15" s="1" t="s">
        <v>283</v>
      </c>
    </row>
    <row r="16" spans="1:24" ht="15.75" customHeight="1" thickBot="1" x14ac:dyDescent="0.25">
      <c r="B16" s="522" t="s">
        <v>223</v>
      </c>
      <c r="C16" s="523"/>
      <c r="D16" s="523"/>
      <c r="E16" s="45" t="str">
        <f>E4</f>
        <v>S1B</v>
      </c>
      <c r="F16" s="45" t="str">
        <f t="shared" ref="F16:X16" si="1">F4</f>
        <v>S5</v>
      </c>
      <c r="G16" s="45" t="str">
        <f t="shared" si="1"/>
        <v>R63</v>
      </c>
      <c r="H16" s="45" t="str">
        <f t="shared" si="1"/>
        <v>NEX</v>
      </c>
      <c r="I16" s="45" t="str">
        <f t="shared" si="1"/>
        <v>PN</v>
      </c>
      <c r="J16" s="45" t="str">
        <f t="shared" si="1"/>
        <v>---</v>
      </c>
      <c r="K16" s="45" t="str">
        <f t="shared" si="1"/>
        <v>---</v>
      </c>
      <c r="L16" s="45" t="str">
        <f t="shared" si="1"/>
        <v>---</v>
      </c>
      <c r="M16" s="45" t="str">
        <f t="shared" si="1"/>
        <v>---</v>
      </c>
      <c r="N16" s="45" t="str">
        <f t="shared" si="1"/>
        <v>---</v>
      </c>
      <c r="O16" s="45" t="str">
        <f t="shared" si="1"/>
        <v>---</v>
      </c>
      <c r="P16" s="45" t="str">
        <f t="shared" si="1"/>
        <v>---</v>
      </c>
      <c r="Q16" s="45" t="str">
        <f t="shared" si="1"/>
        <v>---</v>
      </c>
      <c r="R16" s="45" t="str">
        <f t="shared" si="1"/>
        <v>---</v>
      </c>
      <c r="S16" s="45" t="str">
        <f t="shared" si="1"/>
        <v>---</v>
      </c>
      <c r="T16" s="45" t="str">
        <f t="shared" si="1"/>
        <v>---</v>
      </c>
      <c r="U16" s="45" t="str">
        <f t="shared" si="1"/>
        <v>---</v>
      </c>
      <c r="V16" s="45" t="str">
        <f t="shared" si="1"/>
        <v>---</v>
      </c>
      <c r="W16" s="45" t="str">
        <f t="shared" si="1"/>
        <v>---</v>
      </c>
      <c r="X16" s="46" t="str">
        <f t="shared" si="1"/>
        <v>---</v>
      </c>
    </row>
    <row r="17" spans="2:24" ht="14.25" x14ac:dyDescent="0.2">
      <c r="B17" s="47" t="s">
        <v>0</v>
      </c>
      <c r="C17" s="48"/>
      <c r="D17" s="49" t="s">
        <v>152</v>
      </c>
      <c r="E17" s="42">
        <f>IF('Pořízení a provozuschopnost ŽKV'!E47&gt;0,'Pořízení a provozuschopnost ŽKV'!E47,"-")</f>
        <v>2568.4931506849312</v>
      </c>
      <c r="F17" s="42">
        <f>IF('Pořízení a provozuschopnost ŽKV'!F47&gt;0,'Pořízení a provozuschopnost ŽKV'!F47,"-")</f>
        <v>2568.4931506849312</v>
      </c>
      <c r="G17" s="42">
        <f>IF('Pořízení a provozuschopnost ŽKV'!G47&gt;0,'Pořízení a provozuschopnost ŽKV'!G47,"-")</f>
        <v>2568.4931506849312</v>
      </c>
      <c r="H17" s="42">
        <f>IF('Pořízení a provozuschopnost ŽKV'!H47&gt;0,'Pořízení a provozuschopnost ŽKV'!H47,"-")</f>
        <v>8181.1263318112633</v>
      </c>
      <c r="I17" s="42">
        <f>IF('Pořízení a provozuschopnost ŽKV'!I47&gt;0,'Pořízení a provozuschopnost ŽKV'!I47,"-")</f>
        <v>6992.0091324200912</v>
      </c>
      <c r="J17" s="42" t="str">
        <f>IF('Pořízení a provozuschopnost ŽKV'!J47&gt;0,'Pořízení a provozuschopnost ŽKV'!J47,"-")</f>
        <v>-</v>
      </c>
      <c r="K17" s="42" t="str">
        <f>IF('Pořízení a provozuschopnost ŽKV'!K47&gt;0,'Pořízení a provozuschopnost ŽKV'!K47,"-")</f>
        <v>-</v>
      </c>
      <c r="L17" s="42" t="str">
        <f>IF('Pořízení a provozuschopnost ŽKV'!L47&gt;0,'Pořízení a provozuschopnost ŽKV'!L47,"-")</f>
        <v>-</v>
      </c>
      <c r="M17" s="42" t="str">
        <f>IF('Pořízení a provozuschopnost ŽKV'!M47&gt;0,'Pořízení a provozuschopnost ŽKV'!M47,"-")</f>
        <v>-</v>
      </c>
      <c r="N17" s="42" t="str">
        <f>IF('Pořízení a provozuschopnost ŽKV'!N47&gt;0,'Pořízení a provozuschopnost ŽKV'!N47,"-")</f>
        <v>-</v>
      </c>
      <c r="O17" s="42" t="str">
        <f>IF('Pořízení a provozuschopnost ŽKV'!O47&gt;0,'Pořízení a provozuschopnost ŽKV'!O47,"-")</f>
        <v>-</v>
      </c>
      <c r="P17" s="42" t="str">
        <f>IF('Pořízení a provozuschopnost ŽKV'!P47&gt;0,'Pořízení a provozuschopnost ŽKV'!P47,"-")</f>
        <v>-</v>
      </c>
      <c r="Q17" s="42" t="str">
        <f>IF('Pořízení a provozuschopnost ŽKV'!Q47&gt;0,'Pořízení a provozuschopnost ŽKV'!Q47,"-")</f>
        <v>-</v>
      </c>
      <c r="R17" s="42" t="str">
        <f>IF('Pořízení a provozuschopnost ŽKV'!R47&gt;0,'Pořízení a provozuschopnost ŽKV'!R47,"-")</f>
        <v>-</v>
      </c>
      <c r="S17" s="42" t="str">
        <f>IF('Pořízení a provozuschopnost ŽKV'!S47&gt;0,'Pořízení a provozuschopnost ŽKV'!S47,"-")</f>
        <v>-</v>
      </c>
      <c r="T17" s="42" t="str">
        <f>IF('Pořízení a provozuschopnost ŽKV'!T47&gt;0,'Pořízení a provozuschopnost ŽKV'!T47,"-")</f>
        <v>-</v>
      </c>
      <c r="U17" s="42" t="str">
        <f>IF('Pořízení a provozuschopnost ŽKV'!U47&gt;0,'Pořízení a provozuschopnost ŽKV'!U47,"-")</f>
        <v>-</v>
      </c>
      <c r="V17" s="42" t="str">
        <f>IF('Pořízení a provozuschopnost ŽKV'!V47&gt;0,'Pořízení a provozuschopnost ŽKV'!V47,"-")</f>
        <v>-</v>
      </c>
      <c r="W17" s="42" t="str">
        <f>IF('Pořízení a provozuschopnost ŽKV'!W47&gt;0,'Pořízení a provozuschopnost ŽKV'!W47,"-")</f>
        <v>-</v>
      </c>
      <c r="X17" s="43" t="str">
        <f>IF('Pořízení a provozuschopnost ŽKV'!X47&gt;0,'Pořízení a provozuschopnost ŽKV'!X47,"-")</f>
        <v>-</v>
      </c>
    </row>
    <row r="18" spans="2:24" ht="14.25" x14ac:dyDescent="0.2">
      <c r="B18" s="50" t="s">
        <v>154</v>
      </c>
      <c r="C18" s="22"/>
      <c r="D18" s="51" t="s">
        <v>152</v>
      </c>
      <c r="E18" s="52">
        <f>IF('Pořízení a provozuschopnost ŽKV'!E46&gt;0,'Pořízení a provozuschopnost ŽKV'!E46,"-")</f>
        <v>2311.6438356164385</v>
      </c>
      <c r="F18" s="52">
        <f>IF('Pořízení a provozuschopnost ŽKV'!F46&gt;0,'Pořízení a provozuschopnost ŽKV'!F46,"-")</f>
        <v>2311.6438356164385</v>
      </c>
      <c r="G18" s="52">
        <f>IF('Pořízení a provozuschopnost ŽKV'!G46&gt;0,'Pořízení a provozuschopnost ŽKV'!G46,"-")</f>
        <v>2311.6438356164385</v>
      </c>
      <c r="H18" s="52">
        <f>IF('Pořízení a provozuschopnost ŽKV'!H46&gt;0,'Pořízení a provozuschopnost ŽKV'!H46,"-")</f>
        <v>4509.1324200913241</v>
      </c>
      <c r="I18" s="52">
        <f>IF('Pořízení a provozuschopnost ŽKV'!I46&gt;0,'Pořízení a provozuschopnost ŽKV'!I46,"-")</f>
        <v>3914.573820395738</v>
      </c>
      <c r="J18" s="52" t="str">
        <f>IF('Pořízení a provozuschopnost ŽKV'!J46&gt;0,'Pořízení a provozuschopnost ŽKV'!J46,"-")</f>
        <v>-</v>
      </c>
      <c r="K18" s="52" t="str">
        <f>IF('Pořízení a provozuschopnost ŽKV'!K46&gt;0,'Pořízení a provozuschopnost ŽKV'!K46,"-")</f>
        <v>-</v>
      </c>
      <c r="L18" s="52" t="str">
        <f>IF('Pořízení a provozuschopnost ŽKV'!L46&gt;0,'Pořízení a provozuschopnost ŽKV'!L46,"-")</f>
        <v>-</v>
      </c>
      <c r="M18" s="52" t="str">
        <f>IF('Pořízení a provozuschopnost ŽKV'!M46&gt;0,'Pořízení a provozuschopnost ŽKV'!M46,"-")</f>
        <v>-</v>
      </c>
      <c r="N18" s="52" t="str">
        <f>IF('Pořízení a provozuschopnost ŽKV'!N46&gt;0,'Pořízení a provozuschopnost ŽKV'!N46,"-")</f>
        <v>-</v>
      </c>
      <c r="O18" s="52" t="str">
        <f>IF('Pořízení a provozuschopnost ŽKV'!O46&gt;0,'Pořízení a provozuschopnost ŽKV'!O46,"-")</f>
        <v>-</v>
      </c>
      <c r="P18" s="52" t="str">
        <f>IF('Pořízení a provozuschopnost ŽKV'!P46&gt;0,'Pořízení a provozuschopnost ŽKV'!P46,"-")</f>
        <v>-</v>
      </c>
      <c r="Q18" s="52" t="str">
        <f>IF('Pořízení a provozuschopnost ŽKV'!Q46&gt;0,'Pořízení a provozuschopnost ŽKV'!Q46,"-")</f>
        <v>-</v>
      </c>
      <c r="R18" s="52" t="str">
        <f>IF('Pořízení a provozuschopnost ŽKV'!R46&gt;0,'Pořízení a provozuschopnost ŽKV'!R46,"-")</f>
        <v>-</v>
      </c>
      <c r="S18" s="52" t="str">
        <f>IF('Pořízení a provozuschopnost ŽKV'!S46&gt;0,'Pořízení a provozuschopnost ŽKV'!S46,"-")</f>
        <v>-</v>
      </c>
      <c r="T18" s="52" t="str">
        <f>IF('Pořízení a provozuschopnost ŽKV'!T46&gt;0,'Pořízení a provozuschopnost ŽKV'!T46,"-")</f>
        <v>-</v>
      </c>
      <c r="U18" s="52" t="str">
        <f>IF('Pořízení a provozuschopnost ŽKV'!U46&gt;0,'Pořízení a provozuschopnost ŽKV'!U46,"-")</f>
        <v>-</v>
      </c>
      <c r="V18" s="52" t="str">
        <f>IF('Pořízení a provozuschopnost ŽKV'!V46&gt;0,'Pořízení a provozuschopnost ŽKV'!V46,"-")</f>
        <v>-</v>
      </c>
      <c r="W18" s="52" t="str">
        <f>IF('Pořízení a provozuschopnost ŽKV'!W46&gt;0,'Pořízení a provozuschopnost ŽKV'!W46,"-")</f>
        <v>-</v>
      </c>
      <c r="X18" s="53" t="str">
        <f>IF('Pořízení a provozuschopnost ŽKV'!X46&gt;0,'Pořízení a provozuschopnost ŽKV'!X46,"-")</f>
        <v>-</v>
      </c>
    </row>
    <row r="19" spans="2:24" ht="14.25" x14ac:dyDescent="0.2">
      <c r="B19" s="50" t="s">
        <v>153</v>
      </c>
      <c r="C19" s="22"/>
      <c r="D19" s="51" t="s">
        <v>155</v>
      </c>
      <c r="E19" s="52">
        <f>IF(ISNUMBER('Parametry jízdy vlaku'!E37/'Parametry jízdy vlaku'!E34),'Parametry jízdy vlaku'!E37/'Parametry jízdy vlaku'!E34,"-")</f>
        <v>46.49725080000001</v>
      </c>
      <c r="F19" s="52">
        <f>IF(ISNUMBER('Parametry jízdy vlaku'!F37/'Parametry jízdy vlaku'!F34),'Parametry jízdy vlaku'!F37/'Parametry jízdy vlaku'!F34,"-")</f>
        <v>46.49725080000001</v>
      </c>
      <c r="G19" s="52">
        <f>IF(ISNUMBER('Parametry jízdy vlaku'!G37/'Parametry jízdy vlaku'!G34),'Parametry jízdy vlaku'!G37/'Parametry jízdy vlaku'!G34,"-")</f>
        <v>46.49725080000001</v>
      </c>
      <c r="H19" s="52">
        <f>IF(ISNUMBER('Parametry jízdy vlaku'!H37/'Parametry jízdy vlaku'!H34),'Parametry jízdy vlaku'!H37/'Parametry jízdy vlaku'!H34,"-")</f>
        <v>55.257602400000017</v>
      </c>
      <c r="I19" s="52">
        <f>IF(ISNUMBER('Parametry jízdy vlaku'!I37/'Parametry jízdy vlaku'!I34),'Parametry jízdy vlaku'!I37/'Parametry jízdy vlaku'!I34,"-")</f>
        <v>60.783362640000028</v>
      </c>
      <c r="J19" s="52" t="str">
        <f>IF(ISNUMBER('Parametry jízdy vlaku'!J37/'Parametry jízdy vlaku'!J34),'Parametry jízdy vlaku'!J37/'Parametry jízdy vlaku'!J34,"-")</f>
        <v>-</v>
      </c>
      <c r="K19" s="52" t="str">
        <f>IF(ISNUMBER('Parametry jízdy vlaku'!K37/'Parametry jízdy vlaku'!K34),'Parametry jízdy vlaku'!K37/'Parametry jízdy vlaku'!K34,"-")</f>
        <v>-</v>
      </c>
      <c r="L19" s="52" t="str">
        <f>IF(ISNUMBER('Parametry jízdy vlaku'!L37/'Parametry jízdy vlaku'!L34),'Parametry jízdy vlaku'!L37/'Parametry jízdy vlaku'!L34,"-")</f>
        <v>-</v>
      </c>
      <c r="M19" s="52" t="str">
        <f>IF(ISNUMBER('Parametry jízdy vlaku'!M37/'Parametry jízdy vlaku'!M34),'Parametry jízdy vlaku'!M37/'Parametry jízdy vlaku'!M34,"-")</f>
        <v>-</v>
      </c>
      <c r="N19" s="52" t="str">
        <f>IF(ISNUMBER('Parametry jízdy vlaku'!N37/'Parametry jízdy vlaku'!N34),'Parametry jízdy vlaku'!N37/'Parametry jízdy vlaku'!N34,"-")</f>
        <v>-</v>
      </c>
      <c r="O19" s="52" t="str">
        <f>IF(ISNUMBER('Parametry jízdy vlaku'!O37/'Parametry jízdy vlaku'!O34),'Parametry jízdy vlaku'!O37/'Parametry jízdy vlaku'!O34,"-")</f>
        <v>-</v>
      </c>
      <c r="P19" s="52" t="str">
        <f>IF(ISNUMBER('Parametry jízdy vlaku'!P37/'Parametry jízdy vlaku'!P34),'Parametry jízdy vlaku'!P37/'Parametry jízdy vlaku'!P34,"-")</f>
        <v>-</v>
      </c>
      <c r="Q19" s="52" t="str">
        <f>IF(ISNUMBER('Parametry jízdy vlaku'!Q37/'Parametry jízdy vlaku'!Q34),'Parametry jízdy vlaku'!Q37/'Parametry jízdy vlaku'!Q34,"-")</f>
        <v>-</v>
      </c>
      <c r="R19" s="52" t="str">
        <f>IF(ISNUMBER('Parametry jízdy vlaku'!R37/'Parametry jízdy vlaku'!R34),'Parametry jízdy vlaku'!R37/'Parametry jízdy vlaku'!R34,"-")</f>
        <v>-</v>
      </c>
      <c r="S19" s="52" t="str">
        <f>IF(ISNUMBER('Parametry jízdy vlaku'!S37/'Parametry jízdy vlaku'!S34),'Parametry jízdy vlaku'!S37/'Parametry jízdy vlaku'!S34,"-")</f>
        <v>-</v>
      </c>
      <c r="T19" s="52" t="str">
        <f>IF(ISNUMBER('Parametry jízdy vlaku'!T37/'Parametry jízdy vlaku'!T34),'Parametry jízdy vlaku'!T37/'Parametry jízdy vlaku'!T34,"-")</f>
        <v>-</v>
      </c>
      <c r="U19" s="52" t="str">
        <f>IF(ISNUMBER('Parametry jízdy vlaku'!U37/'Parametry jízdy vlaku'!U34),'Parametry jízdy vlaku'!U37/'Parametry jízdy vlaku'!U34,"-")</f>
        <v>-</v>
      </c>
      <c r="V19" s="52" t="str">
        <f>IF(ISNUMBER('Parametry jízdy vlaku'!V37/'Parametry jízdy vlaku'!V34),'Parametry jízdy vlaku'!V37/'Parametry jízdy vlaku'!V34,"-")</f>
        <v>-</v>
      </c>
      <c r="W19" s="52" t="str">
        <f>IF(ISNUMBER('Parametry jízdy vlaku'!W37/'Parametry jízdy vlaku'!W34),'Parametry jízdy vlaku'!W37/'Parametry jízdy vlaku'!W34,"-")</f>
        <v>-</v>
      </c>
      <c r="X19" s="53" t="str">
        <f>IF(ISNUMBER('Parametry jízdy vlaku'!X37/'Parametry jízdy vlaku'!X34),'Parametry jízdy vlaku'!X37/'Parametry jízdy vlaku'!X34,"-")</f>
        <v>-</v>
      </c>
    </row>
    <row r="20" spans="2:24" ht="14.25" x14ac:dyDescent="0.2">
      <c r="B20" s="50" t="s">
        <v>49</v>
      </c>
      <c r="C20" s="22"/>
      <c r="D20" s="51" t="s">
        <v>152</v>
      </c>
      <c r="E20" s="52">
        <f>IF('Obsazení vlaku personálem'!D20&gt;0,'Obsazení vlaku personálem'!D20,"-")</f>
        <v>908.95755102040823</v>
      </c>
      <c r="F20" s="52">
        <f>IF('Obsazení vlaku personálem'!E20&gt;0,'Obsazení vlaku personálem'!E20,"-")</f>
        <v>908.95755102040823</v>
      </c>
      <c r="G20" s="52">
        <f>IF('Obsazení vlaku personálem'!F20&gt;0,'Obsazení vlaku personálem'!F20,"-")</f>
        <v>908.95755102040823</v>
      </c>
      <c r="H20" s="52">
        <f>IF('Obsazení vlaku personálem'!G20&gt;0,'Obsazení vlaku personálem'!G20,"-")</f>
        <v>505.4671428571429</v>
      </c>
      <c r="I20" s="52">
        <f>IF('Obsazení vlaku personálem'!H20&gt;0,'Obsazení vlaku personálem'!H20,"-")</f>
        <v>505.4671428571429</v>
      </c>
      <c r="J20" s="52" t="str">
        <f>IF('Obsazení vlaku personálem'!I20&gt;0,'Obsazení vlaku personálem'!I20,"-")</f>
        <v>-</v>
      </c>
      <c r="K20" s="52" t="str">
        <f>IF('Obsazení vlaku personálem'!J20&gt;0,'Obsazení vlaku personálem'!J20,"-")</f>
        <v>-</v>
      </c>
      <c r="L20" s="52" t="str">
        <f>IF('Obsazení vlaku personálem'!K20&gt;0,'Obsazení vlaku personálem'!K20,"-")</f>
        <v>-</v>
      </c>
      <c r="M20" s="52" t="str">
        <f>IF('Obsazení vlaku personálem'!L20&gt;0,'Obsazení vlaku personálem'!L20,"-")</f>
        <v>-</v>
      </c>
      <c r="N20" s="52" t="str">
        <f>IF('Obsazení vlaku personálem'!M20&gt;0,'Obsazení vlaku personálem'!M20,"-")</f>
        <v>-</v>
      </c>
      <c r="O20" s="52" t="str">
        <f>IF('Obsazení vlaku personálem'!N20&gt;0,'Obsazení vlaku personálem'!N20,"-")</f>
        <v>-</v>
      </c>
      <c r="P20" s="52" t="str">
        <f>IF('Obsazení vlaku personálem'!O20&gt;0,'Obsazení vlaku personálem'!O20,"-")</f>
        <v>-</v>
      </c>
      <c r="Q20" s="52" t="str">
        <f>IF('Obsazení vlaku personálem'!P20&gt;0,'Obsazení vlaku personálem'!P20,"-")</f>
        <v>-</v>
      </c>
      <c r="R20" s="52" t="str">
        <f>IF('Obsazení vlaku personálem'!Q20&gt;0,'Obsazení vlaku personálem'!Q20,"-")</f>
        <v>-</v>
      </c>
      <c r="S20" s="52" t="str">
        <f>IF('Obsazení vlaku personálem'!R20&gt;0,'Obsazení vlaku personálem'!R20,"-")</f>
        <v>-</v>
      </c>
      <c r="T20" s="52" t="str">
        <f>IF('Obsazení vlaku personálem'!S20&gt;0,'Obsazení vlaku personálem'!S20,"-")</f>
        <v>-</v>
      </c>
      <c r="U20" s="52" t="str">
        <f>IF('Obsazení vlaku personálem'!T20&gt;0,'Obsazení vlaku personálem'!T20,"-")</f>
        <v>-</v>
      </c>
      <c r="V20" s="52" t="str">
        <f>IF('Obsazení vlaku personálem'!U20&gt;0,'Obsazení vlaku personálem'!U20,"-")</f>
        <v>-</v>
      </c>
      <c r="W20" s="52" t="str">
        <f>IF('Obsazení vlaku personálem'!V20&gt;0,'Obsazení vlaku personálem'!V20,"-")</f>
        <v>-</v>
      </c>
      <c r="X20" s="53" t="str">
        <f>IF('Obsazení vlaku personálem'!W20&gt;0,'Obsazení vlaku personálem'!W20,"-")</f>
        <v>-</v>
      </c>
    </row>
    <row r="21" spans="2:24" ht="15" thickBot="1" x14ac:dyDescent="0.25">
      <c r="B21" s="54" t="s">
        <v>52</v>
      </c>
      <c r="C21" s="404">
        <v>75</v>
      </c>
      <c r="D21" s="55" t="s">
        <v>152</v>
      </c>
      <c r="E21" s="56">
        <f>IF(E20="-","-",E20*$C$21/100)</f>
        <v>681.7181632653062</v>
      </c>
      <c r="F21" s="56">
        <f t="shared" ref="F21:K21" si="2">IF(F20="-","-",F20*$C$21/100)</f>
        <v>681.7181632653062</v>
      </c>
      <c r="G21" s="56">
        <f t="shared" si="2"/>
        <v>681.7181632653062</v>
      </c>
      <c r="H21" s="56">
        <f t="shared" si="2"/>
        <v>379.10035714285715</v>
      </c>
      <c r="I21" s="56">
        <f t="shared" si="2"/>
        <v>379.10035714285715</v>
      </c>
      <c r="J21" s="56" t="str">
        <f t="shared" si="2"/>
        <v>-</v>
      </c>
      <c r="K21" s="56" t="str">
        <f t="shared" si="2"/>
        <v>-</v>
      </c>
      <c r="L21" s="56" t="str">
        <f t="shared" ref="L21:X21" si="3">IF(L20="-","-",L20*$C$21/100)</f>
        <v>-</v>
      </c>
      <c r="M21" s="56" t="str">
        <f t="shared" si="3"/>
        <v>-</v>
      </c>
      <c r="N21" s="56" t="str">
        <f t="shared" si="3"/>
        <v>-</v>
      </c>
      <c r="O21" s="56" t="str">
        <f t="shared" si="3"/>
        <v>-</v>
      </c>
      <c r="P21" s="56" t="str">
        <f t="shared" si="3"/>
        <v>-</v>
      </c>
      <c r="Q21" s="56" t="str">
        <f t="shared" si="3"/>
        <v>-</v>
      </c>
      <c r="R21" s="56" t="str">
        <f t="shared" si="3"/>
        <v>-</v>
      </c>
      <c r="S21" s="56" t="str">
        <f t="shared" si="3"/>
        <v>-</v>
      </c>
      <c r="T21" s="56" t="str">
        <f t="shared" si="3"/>
        <v>-</v>
      </c>
      <c r="U21" s="56" t="str">
        <f t="shared" si="3"/>
        <v>-</v>
      </c>
      <c r="V21" s="56" t="str">
        <f t="shared" si="3"/>
        <v>-</v>
      </c>
      <c r="W21" s="56" t="str">
        <f t="shared" si="3"/>
        <v>-</v>
      </c>
      <c r="X21" s="57" t="str">
        <f t="shared" si="3"/>
        <v>-</v>
      </c>
    </row>
    <row r="22" spans="2:24" ht="15" x14ac:dyDescent="0.25">
      <c r="B22" s="58" t="s">
        <v>303</v>
      </c>
      <c r="C22" s="59"/>
      <c r="D22" s="60" t="s">
        <v>152</v>
      </c>
      <c r="E22" s="101">
        <f t="shared" ref="E22:X22" si="4">IF(ISNUMBER(E17+E18+E20+E21),(E17+E18+E20+E21),"-")</f>
        <v>6470.8127005870847</v>
      </c>
      <c r="F22" s="101">
        <f t="shared" si="4"/>
        <v>6470.8127005870847</v>
      </c>
      <c r="G22" s="101">
        <f t="shared" si="4"/>
        <v>6470.8127005870847</v>
      </c>
      <c r="H22" s="101">
        <f t="shared" si="4"/>
        <v>13574.826251902588</v>
      </c>
      <c r="I22" s="101">
        <f t="shared" si="4"/>
        <v>11791.150452815829</v>
      </c>
      <c r="J22" s="101" t="str">
        <f t="shared" si="4"/>
        <v>-</v>
      </c>
      <c r="K22" s="101" t="str">
        <f t="shared" si="4"/>
        <v>-</v>
      </c>
      <c r="L22" s="101" t="str">
        <f t="shared" si="4"/>
        <v>-</v>
      </c>
      <c r="M22" s="101" t="str">
        <f t="shared" si="4"/>
        <v>-</v>
      </c>
      <c r="N22" s="101" t="str">
        <f t="shared" si="4"/>
        <v>-</v>
      </c>
      <c r="O22" s="101" t="str">
        <f t="shared" si="4"/>
        <v>-</v>
      </c>
      <c r="P22" s="101" t="str">
        <f t="shared" si="4"/>
        <v>-</v>
      </c>
      <c r="Q22" s="101" t="str">
        <f t="shared" si="4"/>
        <v>-</v>
      </c>
      <c r="R22" s="101" t="str">
        <f t="shared" si="4"/>
        <v>-</v>
      </c>
      <c r="S22" s="101" t="str">
        <f t="shared" si="4"/>
        <v>-</v>
      </c>
      <c r="T22" s="101" t="str">
        <f t="shared" si="4"/>
        <v>-</v>
      </c>
      <c r="U22" s="101" t="str">
        <f t="shared" si="4"/>
        <v>-</v>
      </c>
      <c r="V22" s="101" t="str">
        <f t="shared" si="4"/>
        <v>-</v>
      </c>
      <c r="W22" s="101" t="str">
        <f t="shared" si="4"/>
        <v>-</v>
      </c>
      <c r="X22" s="102" t="str">
        <f t="shared" si="4"/>
        <v>-</v>
      </c>
    </row>
    <row r="23" spans="2:24" ht="15.75" thickBot="1" x14ac:dyDescent="0.3">
      <c r="B23" s="61" t="s">
        <v>304</v>
      </c>
      <c r="C23" s="62"/>
      <c r="D23" s="63" t="s">
        <v>155</v>
      </c>
      <c r="E23" s="103">
        <f t="shared" ref="E23:X23" si="5">IF(ISNUMBER(E19),E19,"-")</f>
        <v>46.49725080000001</v>
      </c>
      <c r="F23" s="103">
        <f t="shared" si="5"/>
        <v>46.49725080000001</v>
      </c>
      <c r="G23" s="103">
        <f t="shared" si="5"/>
        <v>46.49725080000001</v>
      </c>
      <c r="H23" s="103">
        <f t="shared" si="5"/>
        <v>55.257602400000017</v>
      </c>
      <c r="I23" s="103">
        <f t="shared" si="5"/>
        <v>60.783362640000028</v>
      </c>
      <c r="J23" s="103" t="str">
        <f t="shared" si="5"/>
        <v>-</v>
      </c>
      <c r="K23" s="103" t="str">
        <f t="shared" si="5"/>
        <v>-</v>
      </c>
      <c r="L23" s="103" t="str">
        <f t="shared" si="5"/>
        <v>-</v>
      </c>
      <c r="M23" s="103" t="str">
        <f t="shared" si="5"/>
        <v>-</v>
      </c>
      <c r="N23" s="103" t="str">
        <f t="shared" si="5"/>
        <v>-</v>
      </c>
      <c r="O23" s="103" t="str">
        <f t="shared" si="5"/>
        <v>-</v>
      </c>
      <c r="P23" s="103" t="str">
        <f t="shared" si="5"/>
        <v>-</v>
      </c>
      <c r="Q23" s="103" t="str">
        <f t="shared" si="5"/>
        <v>-</v>
      </c>
      <c r="R23" s="103" t="str">
        <f t="shared" si="5"/>
        <v>-</v>
      </c>
      <c r="S23" s="103" t="str">
        <f t="shared" si="5"/>
        <v>-</v>
      </c>
      <c r="T23" s="103" t="str">
        <f t="shared" si="5"/>
        <v>-</v>
      </c>
      <c r="U23" s="103" t="str">
        <f t="shared" si="5"/>
        <v>-</v>
      </c>
      <c r="V23" s="103" t="str">
        <f t="shared" si="5"/>
        <v>-</v>
      </c>
      <c r="W23" s="103" t="str">
        <f t="shared" si="5"/>
        <v>-</v>
      </c>
      <c r="X23" s="104" t="str">
        <f t="shared" si="5"/>
        <v>-</v>
      </c>
    </row>
    <row r="24" spans="2:24" x14ac:dyDescent="0.2">
      <c r="B24" s="64"/>
      <c r="C24" s="64"/>
      <c r="D24" s="65"/>
      <c r="E24" s="66"/>
      <c r="F24" s="66"/>
      <c r="G24" s="66"/>
      <c r="H24" s="66"/>
      <c r="I24" s="66"/>
      <c r="J24" s="66"/>
      <c r="K24" s="66"/>
      <c r="L24" s="66"/>
      <c r="M24" s="66"/>
      <c r="N24" s="66"/>
      <c r="O24" s="66"/>
      <c r="P24" s="66"/>
      <c r="Q24" s="66"/>
    </row>
    <row r="25" spans="2:24" x14ac:dyDescent="0.2">
      <c r="B25" s="67" t="s">
        <v>380</v>
      </c>
      <c r="C25" s="68"/>
      <c r="D25" s="69"/>
      <c r="E25" s="70"/>
      <c r="F25" s="70"/>
      <c r="G25" s="70"/>
      <c r="H25" s="70"/>
      <c r="I25" s="70"/>
      <c r="J25" s="70"/>
      <c r="K25" s="70"/>
      <c r="L25" s="70"/>
      <c r="M25" s="70"/>
      <c r="N25" s="70"/>
      <c r="O25" s="70"/>
      <c r="P25" s="70"/>
      <c r="Q25" s="70"/>
      <c r="R25" s="68"/>
      <c r="S25" s="68"/>
      <c r="T25" s="68"/>
      <c r="U25" s="68"/>
      <c r="V25" s="68"/>
      <c r="W25" s="68"/>
      <c r="X25" s="68"/>
    </row>
    <row r="26" spans="2:24" x14ac:dyDescent="0.2">
      <c r="B26" s="64"/>
      <c r="C26" s="64"/>
      <c r="D26" s="65"/>
      <c r="E26" s="66"/>
      <c r="F26" s="66"/>
      <c r="G26" s="66"/>
      <c r="H26" s="66"/>
      <c r="I26" s="66"/>
      <c r="J26" s="66"/>
      <c r="K26" s="66"/>
      <c r="L26" s="66"/>
      <c r="M26" s="66"/>
      <c r="N26" s="66"/>
      <c r="O26" s="66"/>
      <c r="P26" s="66"/>
      <c r="Q26" s="66"/>
    </row>
    <row r="27" spans="2:24" ht="13.5" thickBot="1" x14ac:dyDescent="0.25">
      <c r="B27" s="1" t="s">
        <v>284</v>
      </c>
      <c r="C27" s="64"/>
      <c r="D27" s="65"/>
    </row>
    <row r="28" spans="2:24" ht="15.75" customHeight="1" thickBot="1" x14ac:dyDescent="0.25">
      <c r="B28" s="522" t="s">
        <v>224</v>
      </c>
      <c r="C28" s="523"/>
      <c r="D28" s="523"/>
      <c r="E28" s="36" t="str">
        <f t="shared" ref="E28:X28" si="6">E4</f>
        <v>S1B</v>
      </c>
      <c r="F28" s="37" t="str">
        <f t="shared" si="6"/>
        <v>S5</v>
      </c>
      <c r="G28" s="37" t="str">
        <f t="shared" si="6"/>
        <v>R63</v>
      </c>
      <c r="H28" s="37" t="str">
        <f t="shared" si="6"/>
        <v>NEX</v>
      </c>
      <c r="I28" s="37" t="str">
        <f t="shared" si="6"/>
        <v>PN</v>
      </c>
      <c r="J28" s="37" t="str">
        <f t="shared" si="6"/>
        <v>---</v>
      </c>
      <c r="K28" s="37" t="str">
        <f t="shared" si="6"/>
        <v>---</v>
      </c>
      <c r="L28" s="37" t="str">
        <f t="shared" si="6"/>
        <v>---</v>
      </c>
      <c r="M28" s="37" t="str">
        <f t="shared" si="6"/>
        <v>---</v>
      </c>
      <c r="N28" s="37" t="str">
        <f t="shared" si="6"/>
        <v>---</v>
      </c>
      <c r="O28" s="37" t="str">
        <f t="shared" si="6"/>
        <v>---</v>
      </c>
      <c r="P28" s="37" t="str">
        <f t="shared" si="6"/>
        <v>---</v>
      </c>
      <c r="Q28" s="37" t="str">
        <f t="shared" si="6"/>
        <v>---</v>
      </c>
      <c r="R28" s="37" t="str">
        <f t="shared" si="6"/>
        <v>---</v>
      </c>
      <c r="S28" s="37" t="str">
        <f t="shared" si="6"/>
        <v>---</v>
      </c>
      <c r="T28" s="37" t="str">
        <f t="shared" si="6"/>
        <v>---</v>
      </c>
      <c r="U28" s="37" t="str">
        <f t="shared" si="6"/>
        <v>---</v>
      </c>
      <c r="V28" s="37" t="str">
        <f t="shared" si="6"/>
        <v>---</v>
      </c>
      <c r="W28" s="37" t="str">
        <f t="shared" si="6"/>
        <v>---</v>
      </c>
      <c r="X28" s="38" t="str">
        <f t="shared" si="6"/>
        <v>---</v>
      </c>
    </row>
    <row r="29" spans="2:24" ht="14.25" x14ac:dyDescent="0.2">
      <c r="B29" s="47" t="s">
        <v>50</v>
      </c>
      <c r="C29" s="405">
        <v>15</v>
      </c>
      <c r="D29" s="49" t="s">
        <v>152</v>
      </c>
      <c r="E29" s="71">
        <f t="shared" ref="E29:X29" si="7">IF(ISNUMBER(((E23+E13)*E34+E22)*($C$29/100)),((E23+E13)*E34+E22)*($C$29/100),"-")</f>
        <v>1660.4377884880626</v>
      </c>
      <c r="F29" s="71">
        <f t="shared" si="7"/>
        <v>1660.4377884880626</v>
      </c>
      <c r="G29" s="71">
        <f t="shared" si="7"/>
        <v>1660.4377884880626</v>
      </c>
      <c r="H29" s="71">
        <f t="shared" si="7"/>
        <v>2036.2239377853882</v>
      </c>
      <c r="I29" s="71">
        <f t="shared" si="7"/>
        <v>1768.6725679223744</v>
      </c>
      <c r="J29" s="71" t="str">
        <f t="shared" si="7"/>
        <v>-</v>
      </c>
      <c r="K29" s="71" t="str">
        <f t="shared" si="7"/>
        <v>-</v>
      </c>
      <c r="L29" s="71" t="str">
        <f t="shared" si="7"/>
        <v>-</v>
      </c>
      <c r="M29" s="71" t="str">
        <f t="shared" si="7"/>
        <v>-</v>
      </c>
      <c r="N29" s="71" t="str">
        <f t="shared" si="7"/>
        <v>-</v>
      </c>
      <c r="O29" s="71" t="str">
        <f t="shared" si="7"/>
        <v>-</v>
      </c>
      <c r="P29" s="71" t="str">
        <f t="shared" si="7"/>
        <v>-</v>
      </c>
      <c r="Q29" s="71" t="str">
        <f t="shared" si="7"/>
        <v>-</v>
      </c>
      <c r="R29" s="71" t="str">
        <f t="shared" si="7"/>
        <v>-</v>
      </c>
      <c r="S29" s="71" t="str">
        <f t="shared" si="7"/>
        <v>-</v>
      </c>
      <c r="T29" s="71" t="str">
        <f t="shared" si="7"/>
        <v>-</v>
      </c>
      <c r="U29" s="71" t="str">
        <f t="shared" si="7"/>
        <v>-</v>
      </c>
      <c r="V29" s="71" t="str">
        <f t="shared" si="7"/>
        <v>-</v>
      </c>
      <c r="W29" s="71" t="str">
        <f t="shared" si="7"/>
        <v>-</v>
      </c>
      <c r="X29" s="43" t="str">
        <f t="shared" si="7"/>
        <v>-</v>
      </c>
    </row>
    <row r="30" spans="2:24" ht="15" thickBot="1" x14ac:dyDescent="0.25">
      <c r="B30" s="72" t="s">
        <v>51</v>
      </c>
      <c r="C30" s="406">
        <v>5</v>
      </c>
      <c r="D30" s="28" t="s">
        <v>152</v>
      </c>
      <c r="E30" s="73">
        <f t="shared" ref="E30:X30" si="8">IF(ISNUMBER(((E23+E13)*E34+E22)*($C$30/100)),((E23+E13)*E34+E22)*($C$30/100),"-")</f>
        <v>553.4792628293543</v>
      </c>
      <c r="F30" s="73">
        <f t="shared" si="8"/>
        <v>553.4792628293543</v>
      </c>
      <c r="G30" s="73">
        <f t="shared" si="8"/>
        <v>553.4792628293543</v>
      </c>
      <c r="H30" s="73">
        <f t="shared" si="8"/>
        <v>678.74131259512944</v>
      </c>
      <c r="I30" s="73">
        <f t="shared" si="8"/>
        <v>589.55752264079149</v>
      </c>
      <c r="J30" s="73" t="str">
        <f t="shared" si="8"/>
        <v>-</v>
      </c>
      <c r="K30" s="73" t="str">
        <f t="shared" si="8"/>
        <v>-</v>
      </c>
      <c r="L30" s="73" t="str">
        <f t="shared" si="8"/>
        <v>-</v>
      </c>
      <c r="M30" s="73" t="str">
        <f t="shared" si="8"/>
        <v>-</v>
      </c>
      <c r="N30" s="73" t="str">
        <f t="shared" si="8"/>
        <v>-</v>
      </c>
      <c r="O30" s="73" t="str">
        <f t="shared" si="8"/>
        <v>-</v>
      </c>
      <c r="P30" s="73" t="str">
        <f t="shared" si="8"/>
        <v>-</v>
      </c>
      <c r="Q30" s="73" t="str">
        <f t="shared" si="8"/>
        <v>-</v>
      </c>
      <c r="R30" s="73" t="str">
        <f t="shared" si="8"/>
        <v>-</v>
      </c>
      <c r="S30" s="73" t="str">
        <f t="shared" si="8"/>
        <v>-</v>
      </c>
      <c r="T30" s="73" t="str">
        <f t="shared" si="8"/>
        <v>-</v>
      </c>
      <c r="U30" s="73" t="str">
        <f t="shared" si="8"/>
        <v>-</v>
      </c>
      <c r="V30" s="73" t="str">
        <f t="shared" si="8"/>
        <v>-</v>
      </c>
      <c r="W30" s="73" t="str">
        <f t="shared" si="8"/>
        <v>-</v>
      </c>
      <c r="X30" s="74" t="str">
        <f t="shared" si="8"/>
        <v>-</v>
      </c>
    </row>
    <row r="32" spans="2:24" ht="13.5" thickBot="1" x14ac:dyDescent="0.25">
      <c r="B32" s="1" t="s">
        <v>285</v>
      </c>
    </row>
    <row r="33" spans="2:24" ht="15" x14ac:dyDescent="0.2">
      <c r="B33" s="524" t="s">
        <v>47</v>
      </c>
      <c r="C33" s="525"/>
      <c r="D33" s="525"/>
      <c r="E33" s="75" t="str">
        <f t="shared" ref="E33:X33" si="9">E4</f>
        <v>S1B</v>
      </c>
      <c r="F33" s="76" t="str">
        <f t="shared" si="9"/>
        <v>S5</v>
      </c>
      <c r="G33" s="76" t="str">
        <f t="shared" si="9"/>
        <v>R63</v>
      </c>
      <c r="H33" s="76" t="str">
        <f t="shared" si="9"/>
        <v>NEX</v>
      </c>
      <c r="I33" s="76" t="str">
        <f t="shared" si="9"/>
        <v>PN</v>
      </c>
      <c r="J33" s="76" t="str">
        <f t="shared" si="9"/>
        <v>---</v>
      </c>
      <c r="K33" s="76" t="str">
        <f t="shared" si="9"/>
        <v>---</v>
      </c>
      <c r="L33" s="76" t="str">
        <f t="shared" si="9"/>
        <v>---</v>
      </c>
      <c r="M33" s="76" t="str">
        <f t="shared" si="9"/>
        <v>---</v>
      </c>
      <c r="N33" s="76" t="str">
        <f t="shared" si="9"/>
        <v>---</v>
      </c>
      <c r="O33" s="76" t="str">
        <f t="shared" si="9"/>
        <v>---</v>
      </c>
      <c r="P33" s="76" t="str">
        <f t="shared" si="9"/>
        <v>---</v>
      </c>
      <c r="Q33" s="76" t="str">
        <f t="shared" si="9"/>
        <v>---</v>
      </c>
      <c r="R33" s="76" t="str">
        <f t="shared" si="9"/>
        <v>---</v>
      </c>
      <c r="S33" s="76" t="str">
        <f t="shared" si="9"/>
        <v>---</v>
      </c>
      <c r="T33" s="76" t="str">
        <f t="shared" si="9"/>
        <v>---</v>
      </c>
      <c r="U33" s="76" t="str">
        <f t="shared" si="9"/>
        <v>---</v>
      </c>
      <c r="V33" s="76" t="str">
        <f t="shared" si="9"/>
        <v>---</v>
      </c>
      <c r="W33" s="76" t="str">
        <f t="shared" si="9"/>
        <v>---</v>
      </c>
      <c r="X33" s="77" t="str">
        <f t="shared" si="9"/>
        <v>---</v>
      </c>
    </row>
    <row r="34" spans="2:24" x14ac:dyDescent="0.2">
      <c r="B34" s="78" t="s">
        <v>376</v>
      </c>
      <c r="C34" s="79"/>
      <c r="D34" s="80" t="s">
        <v>156</v>
      </c>
      <c r="E34" s="98">
        <v>70</v>
      </c>
      <c r="F34" s="98">
        <v>70</v>
      </c>
      <c r="G34" s="98">
        <v>70</v>
      </c>
      <c r="H34" s="98"/>
      <c r="I34" s="98"/>
      <c r="J34" s="98"/>
      <c r="K34" s="98"/>
      <c r="L34" s="98"/>
      <c r="M34" s="98"/>
      <c r="N34" s="98"/>
      <c r="O34" s="98"/>
      <c r="P34" s="98"/>
      <c r="Q34" s="98"/>
      <c r="R34" s="98"/>
      <c r="S34" s="98"/>
      <c r="T34" s="98"/>
      <c r="U34" s="98"/>
      <c r="V34" s="98"/>
      <c r="W34" s="98"/>
      <c r="X34" s="99"/>
    </row>
    <row r="35" spans="2:24" x14ac:dyDescent="0.2">
      <c r="B35" s="81" t="s">
        <v>378</v>
      </c>
      <c r="C35" s="22"/>
      <c r="D35" s="82" t="s">
        <v>152</v>
      </c>
      <c r="E35" s="83">
        <f t="shared" ref="E35:X35" si="10">IF(ISNUMBER(E30+E29+E21+E20+E18+E17),E30+E29+E21+E20+E18+E17,"-")</f>
        <v>8684.7297519045005</v>
      </c>
      <c r="F35" s="83">
        <f t="shared" si="10"/>
        <v>8684.7297519045005</v>
      </c>
      <c r="G35" s="83">
        <f t="shared" si="10"/>
        <v>8684.7297519045005</v>
      </c>
      <c r="H35" s="83">
        <f t="shared" si="10"/>
        <v>16289.791502283106</v>
      </c>
      <c r="I35" s="83">
        <f t="shared" si="10"/>
        <v>14149.380543378995</v>
      </c>
      <c r="J35" s="83" t="str">
        <f t="shared" si="10"/>
        <v>-</v>
      </c>
      <c r="K35" s="83" t="str">
        <f t="shared" si="10"/>
        <v>-</v>
      </c>
      <c r="L35" s="83" t="str">
        <f t="shared" si="10"/>
        <v>-</v>
      </c>
      <c r="M35" s="83" t="str">
        <f t="shared" si="10"/>
        <v>-</v>
      </c>
      <c r="N35" s="83" t="str">
        <f t="shared" si="10"/>
        <v>-</v>
      </c>
      <c r="O35" s="83" t="str">
        <f t="shared" si="10"/>
        <v>-</v>
      </c>
      <c r="P35" s="83" t="str">
        <f t="shared" si="10"/>
        <v>-</v>
      </c>
      <c r="Q35" s="83" t="str">
        <f t="shared" si="10"/>
        <v>-</v>
      </c>
      <c r="R35" s="83" t="str">
        <f t="shared" si="10"/>
        <v>-</v>
      </c>
      <c r="S35" s="83" t="str">
        <f t="shared" si="10"/>
        <v>-</v>
      </c>
      <c r="T35" s="83" t="str">
        <f t="shared" si="10"/>
        <v>-</v>
      </c>
      <c r="U35" s="83" t="str">
        <f t="shared" si="10"/>
        <v>-</v>
      </c>
      <c r="V35" s="83" t="str">
        <f t="shared" si="10"/>
        <v>-</v>
      </c>
      <c r="W35" s="83" t="str">
        <f t="shared" si="10"/>
        <v>-</v>
      </c>
      <c r="X35" s="84" t="str">
        <f t="shared" si="10"/>
        <v>-</v>
      </c>
    </row>
    <row r="36" spans="2:24" ht="12.6" customHeight="1" thickBot="1" x14ac:dyDescent="0.25">
      <c r="B36" s="85" t="s">
        <v>379</v>
      </c>
      <c r="C36" s="86"/>
      <c r="D36" s="87" t="s">
        <v>155</v>
      </c>
      <c r="E36" s="88">
        <f t="shared" ref="E36:X36" si="11">IF(ISNUMBER(E19+E13),(E19+E13),"-")</f>
        <v>65.696750800000004</v>
      </c>
      <c r="F36" s="88">
        <f t="shared" si="11"/>
        <v>65.696750800000004</v>
      </c>
      <c r="G36" s="88">
        <f t="shared" si="11"/>
        <v>65.696750800000004</v>
      </c>
      <c r="H36" s="88">
        <f t="shared" si="11"/>
        <v>195.7816024</v>
      </c>
      <c r="I36" s="88">
        <f t="shared" si="11"/>
        <v>170.46561264000002</v>
      </c>
      <c r="J36" s="88" t="str">
        <f t="shared" si="11"/>
        <v>-</v>
      </c>
      <c r="K36" s="88" t="str">
        <f t="shared" si="11"/>
        <v>-</v>
      </c>
      <c r="L36" s="88" t="str">
        <f t="shared" si="11"/>
        <v>-</v>
      </c>
      <c r="M36" s="88" t="str">
        <f t="shared" si="11"/>
        <v>-</v>
      </c>
      <c r="N36" s="88" t="str">
        <f t="shared" si="11"/>
        <v>-</v>
      </c>
      <c r="O36" s="88" t="str">
        <f t="shared" si="11"/>
        <v>-</v>
      </c>
      <c r="P36" s="88" t="str">
        <f t="shared" si="11"/>
        <v>-</v>
      </c>
      <c r="Q36" s="88" t="str">
        <f t="shared" si="11"/>
        <v>-</v>
      </c>
      <c r="R36" s="88" t="str">
        <f t="shared" si="11"/>
        <v>-</v>
      </c>
      <c r="S36" s="88" t="str">
        <f t="shared" si="11"/>
        <v>-</v>
      </c>
      <c r="T36" s="88" t="str">
        <f t="shared" si="11"/>
        <v>-</v>
      </c>
      <c r="U36" s="88" t="str">
        <f t="shared" si="11"/>
        <v>-</v>
      </c>
      <c r="V36" s="88" t="str">
        <f t="shared" si="11"/>
        <v>-</v>
      </c>
      <c r="W36" s="88" t="str">
        <f t="shared" si="11"/>
        <v>-</v>
      </c>
      <c r="X36" s="89" t="str">
        <f t="shared" si="11"/>
        <v>-</v>
      </c>
    </row>
    <row r="37" spans="2:24" x14ac:dyDescent="0.2">
      <c r="B37" s="90" t="s">
        <v>309</v>
      </c>
      <c r="C37" s="91"/>
      <c r="D37" s="92" t="s">
        <v>152</v>
      </c>
      <c r="E37" s="93">
        <f t="shared" ref="E37:X37" si="12">IF(ISNUMBER(E35+E36*E34),E35+E36*E34,"-")</f>
        <v>13283.5023079045</v>
      </c>
      <c r="F37" s="93">
        <f t="shared" si="12"/>
        <v>13283.5023079045</v>
      </c>
      <c r="G37" s="93">
        <f t="shared" si="12"/>
        <v>13283.5023079045</v>
      </c>
      <c r="H37" s="93">
        <f t="shared" si="12"/>
        <v>16289.791502283106</v>
      </c>
      <c r="I37" s="93">
        <f t="shared" si="12"/>
        <v>14149.380543378995</v>
      </c>
      <c r="J37" s="93" t="str">
        <f t="shared" si="12"/>
        <v>-</v>
      </c>
      <c r="K37" s="93" t="str">
        <f t="shared" si="12"/>
        <v>-</v>
      </c>
      <c r="L37" s="93" t="str">
        <f t="shared" si="12"/>
        <v>-</v>
      </c>
      <c r="M37" s="93" t="str">
        <f t="shared" si="12"/>
        <v>-</v>
      </c>
      <c r="N37" s="93" t="str">
        <f t="shared" si="12"/>
        <v>-</v>
      </c>
      <c r="O37" s="93" t="str">
        <f t="shared" si="12"/>
        <v>-</v>
      </c>
      <c r="P37" s="93" t="str">
        <f t="shared" si="12"/>
        <v>-</v>
      </c>
      <c r="Q37" s="93" t="str">
        <f t="shared" si="12"/>
        <v>-</v>
      </c>
      <c r="R37" s="93" t="str">
        <f t="shared" si="12"/>
        <v>-</v>
      </c>
      <c r="S37" s="93" t="str">
        <f t="shared" si="12"/>
        <v>-</v>
      </c>
      <c r="T37" s="93" t="str">
        <f t="shared" si="12"/>
        <v>-</v>
      </c>
      <c r="U37" s="93" t="str">
        <f t="shared" si="12"/>
        <v>-</v>
      </c>
      <c r="V37" s="93" t="str">
        <f t="shared" si="12"/>
        <v>-</v>
      </c>
      <c r="W37" s="93" t="str">
        <f t="shared" si="12"/>
        <v>-</v>
      </c>
      <c r="X37" s="94" t="str">
        <f t="shared" si="12"/>
        <v>-</v>
      </c>
    </row>
    <row r="38" spans="2:24" ht="13.5" thickBot="1" x14ac:dyDescent="0.25">
      <c r="B38" s="95" t="s">
        <v>377</v>
      </c>
      <c r="C38" s="96"/>
      <c r="D38" s="97" t="s">
        <v>155</v>
      </c>
      <c r="E38" s="88">
        <f t="shared" ref="E38:X38" si="13">IF(ISNUMBER(E37/E34),E37/E34,"-")</f>
        <v>189.76431868435</v>
      </c>
      <c r="F38" s="88">
        <f t="shared" si="13"/>
        <v>189.76431868435</v>
      </c>
      <c r="G38" s="88">
        <f t="shared" si="13"/>
        <v>189.76431868435</v>
      </c>
      <c r="H38" s="88" t="str">
        <f t="shared" si="13"/>
        <v>-</v>
      </c>
      <c r="I38" s="88" t="str">
        <f t="shared" si="13"/>
        <v>-</v>
      </c>
      <c r="J38" s="88" t="str">
        <f t="shared" si="13"/>
        <v>-</v>
      </c>
      <c r="K38" s="88" t="str">
        <f t="shared" si="13"/>
        <v>-</v>
      </c>
      <c r="L38" s="88" t="str">
        <f t="shared" si="13"/>
        <v>-</v>
      </c>
      <c r="M38" s="88" t="str">
        <f t="shared" si="13"/>
        <v>-</v>
      </c>
      <c r="N38" s="88" t="str">
        <f t="shared" si="13"/>
        <v>-</v>
      </c>
      <c r="O38" s="88" t="str">
        <f t="shared" si="13"/>
        <v>-</v>
      </c>
      <c r="P38" s="88" t="str">
        <f t="shared" si="13"/>
        <v>-</v>
      </c>
      <c r="Q38" s="88" t="str">
        <f t="shared" si="13"/>
        <v>-</v>
      </c>
      <c r="R38" s="88" t="str">
        <f t="shared" si="13"/>
        <v>-</v>
      </c>
      <c r="S38" s="88" t="str">
        <f t="shared" si="13"/>
        <v>-</v>
      </c>
      <c r="T38" s="88" t="str">
        <f t="shared" si="13"/>
        <v>-</v>
      </c>
      <c r="U38" s="88" t="str">
        <f t="shared" si="13"/>
        <v>-</v>
      </c>
      <c r="V38" s="88" t="str">
        <f t="shared" si="13"/>
        <v>-</v>
      </c>
      <c r="W38" s="88" t="str">
        <f t="shared" si="13"/>
        <v>-</v>
      </c>
      <c r="X38" s="89" t="str">
        <f t="shared" si="13"/>
        <v>-</v>
      </c>
    </row>
    <row r="40" spans="2:24" x14ac:dyDescent="0.2">
      <c r="E40" s="66"/>
      <c r="F40" s="66"/>
      <c r="G40" s="66"/>
      <c r="H40" s="66"/>
      <c r="I40" s="66"/>
      <c r="J40" s="66"/>
      <c r="K40" s="66"/>
      <c r="L40" s="66"/>
      <c r="M40" s="66"/>
      <c r="N40" s="66"/>
      <c r="O40" s="66"/>
      <c r="P40" s="66"/>
      <c r="Q40" s="66"/>
    </row>
  </sheetData>
  <sheetProtection password="A499" sheet="1"/>
  <mergeCells count="4">
    <mergeCell ref="B11:D11"/>
    <mergeCell ref="B16:D16"/>
    <mergeCell ref="B28:D28"/>
    <mergeCell ref="B33:D33"/>
  </mergeCells>
  <phoneticPr fontId="14" type="noConversion"/>
  <pageMargins left="0.78740157499999996" right="0.78740157499999996" top="0.984251969" bottom="0.984251969" header="0.4921259845" footer="0.4921259845"/>
  <pageSetup paperSize="192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G31"/>
  <sheetViews>
    <sheetView showGridLines="0" zoomScaleNormal="100" workbookViewId="0">
      <selection activeCell="K11" sqref="K11"/>
    </sheetView>
  </sheetViews>
  <sheetFormatPr defaultRowHeight="12.75" x14ac:dyDescent="0.2"/>
  <cols>
    <col min="1" max="1" width="2.42578125" style="2" customWidth="1"/>
    <col min="2" max="2" width="17.7109375" style="3" customWidth="1"/>
    <col min="3" max="3" width="15.7109375" style="407" customWidth="1"/>
    <col min="4" max="4" width="20.85546875" style="3" customWidth="1"/>
    <col min="5" max="12" width="15.7109375" style="3" customWidth="1"/>
    <col min="13" max="13" width="73.5703125" style="2" customWidth="1"/>
    <col min="14" max="16384" width="9.140625" style="2"/>
  </cols>
  <sheetData>
    <row r="2" spans="2:33" ht="13.5" thickBot="1" x14ac:dyDescent="0.25">
      <c r="B2" s="1" t="s">
        <v>266</v>
      </c>
    </row>
    <row r="3" spans="2:33" ht="25.5" customHeight="1" x14ac:dyDescent="0.2">
      <c r="B3" s="408" t="s">
        <v>39</v>
      </c>
      <c r="C3" s="409" t="s">
        <v>167</v>
      </c>
      <c r="D3" s="409" t="s">
        <v>209</v>
      </c>
      <c r="E3" s="409" t="s">
        <v>164</v>
      </c>
      <c r="F3" s="409" t="s">
        <v>10</v>
      </c>
      <c r="G3" s="409" t="s">
        <v>165</v>
      </c>
      <c r="H3" s="409" t="s">
        <v>166</v>
      </c>
      <c r="I3" s="409" t="s">
        <v>181</v>
      </c>
      <c r="J3" s="409" t="s">
        <v>175</v>
      </c>
      <c r="K3" s="409" t="s">
        <v>173</v>
      </c>
      <c r="L3" s="409" t="s">
        <v>92</v>
      </c>
      <c r="M3" s="410" t="s">
        <v>170</v>
      </c>
      <c r="N3" s="411"/>
      <c r="O3" s="411"/>
      <c r="P3" s="411"/>
      <c r="Q3" s="411"/>
      <c r="R3" s="411"/>
      <c r="S3" s="411"/>
      <c r="T3" s="411"/>
      <c r="U3" s="411"/>
      <c r="V3" s="411"/>
      <c r="W3" s="411"/>
      <c r="X3" s="411"/>
      <c r="Y3" s="411"/>
      <c r="Z3" s="411"/>
      <c r="AA3" s="411"/>
      <c r="AB3" s="411"/>
      <c r="AC3" s="411"/>
      <c r="AD3" s="411"/>
      <c r="AE3" s="411"/>
      <c r="AF3" s="411"/>
      <c r="AG3" s="411"/>
    </row>
    <row r="4" spans="2:33" ht="13.5" thickBot="1" x14ac:dyDescent="0.25">
      <c r="B4" s="412"/>
      <c r="C4" s="413"/>
      <c r="D4" s="413"/>
      <c r="E4" s="413"/>
      <c r="F4" s="413"/>
      <c r="G4" s="413" t="s">
        <v>41</v>
      </c>
      <c r="H4" s="413" t="s">
        <v>156</v>
      </c>
      <c r="I4" s="413" t="s">
        <v>180</v>
      </c>
      <c r="J4" s="413" t="s">
        <v>176</v>
      </c>
      <c r="K4" s="413" t="s">
        <v>13</v>
      </c>
      <c r="L4" s="413" t="s">
        <v>15</v>
      </c>
      <c r="M4" s="414" t="s">
        <v>172</v>
      </c>
      <c r="N4" s="411"/>
      <c r="O4" s="411"/>
      <c r="P4" s="411"/>
      <c r="Q4" s="411"/>
      <c r="R4" s="411"/>
      <c r="S4" s="411"/>
      <c r="T4" s="411"/>
      <c r="U4" s="411"/>
      <c r="V4" s="411"/>
      <c r="W4" s="411"/>
      <c r="X4" s="411"/>
      <c r="Y4" s="411"/>
      <c r="Z4" s="411"/>
      <c r="AA4" s="411"/>
      <c r="AB4" s="411"/>
      <c r="AC4" s="411"/>
      <c r="AD4" s="411"/>
      <c r="AE4" s="411"/>
      <c r="AF4" s="411"/>
      <c r="AG4" s="411"/>
    </row>
    <row r="5" spans="2:33" x14ac:dyDescent="0.2">
      <c r="B5" s="415" t="s">
        <v>168</v>
      </c>
      <c r="C5" s="416">
        <v>840</v>
      </c>
      <c r="D5" s="417" t="s">
        <v>161</v>
      </c>
      <c r="E5" s="417" t="s">
        <v>169</v>
      </c>
      <c r="F5" s="417" t="s">
        <v>141</v>
      </c>
      <c r="G5" s="418">
        <v>55</v>
      </c>
      <c r="H5" s="417">
        <v>120</v>
      </c>
      <c r="I5" s="417" t="s">
        <v>182</v>
      </c>
      <c r="J5" s="419">
        <v>25.5</v>
      </c>
      <c r="K5" s="418">
        <v>48.5</v>
      </c>
      <c r="L5" s="420">
        <v>90</v>
      </c>
      <c r="M5" s="421" t="s">
        <v>171</v>
      </c>
    </row>
    <row r="6" spans="2:33" x14ac:dyDescent="0.2">
      <c r="B6" s="422" t="s">
        <v>174</v>
      </c>
      <c r="C6" s="423">
        <v>844</v>
      </c>
      <c r="D6" s="424" t="s">
        <v>177</v>
      </c>
      <c r="E6" s="424" t="s">
        <v>169</v>
      </c>
      <c r="F6" s="424" t="s">
        <v>141</v>
      </c>
      <c r="G6" s="254">
        <v>75</v>
      </c>
      <c r="H6" s="424">
        <v>120</v>
      </c>
      <c r="I6" s="424" t="s">
        <v>179</v>
      </c>
      <c r="J6" s="425">
        <v>43.73</v>
      </c>
      <c r="K6" s="254">
        <v>84.4</v>
      </c>
      <c r="L6" s="426">
        <v>90</v>
      </c>
      <c r="M6" s="427" t="s">
        <v>178</v>
      </c>
    </row>
    <row r="7" spans="2:33" x14ac:dyDescent="0.2">
      <c r="B7" s="428" t="s">
        <v>183</v>
      </c>
      <c r="C7" s="429">
        <v>650</v>
      </c>
      <c r="D7" s="424" t="s">
        <v>203</v>
      </c>
      <c r="E7" s="424" t="s">
        <v>189</v>
      </c>
      <c r="F7" s="424" t="s">
        <v>142</v>
      </c>
      <c r="G7" s="254">
        <v>115</v>
      </c>
      <c r="H7" s="424">
        <v>160</v>
      </c>
      <c r="I7" s="424">
        <v>1360</v>
      </c>
      <c r="J7" s="425">
        <v>52.9</v>
      </c>
      <c r="K7" s="254">
        <v>106</v>
      </c>
      <c r="L7" s="426">
        <v>90</v>
      </c>
      <c r="M7" s="430" t="s">
        <v>221</v>
      </c>
    </row>
    <row r="8" spans="2:33" x14ac:dyDescent="0.2">
      <c r="B8" s="428" t="s">
        <v>184</v>
      </c>
      <c r="C8" s="423">
        <v>640</v>
      </c>
      <c r="D8" s="424" t="s">
        <v>203</v>
      </c>
      <c r="E8" s="424" t="s">
        <v>189</v>
      </c>
      <c r="F8" s="424" t="s">
        <v>142</v>
      </c>
      <c r="G8" s="254">
        <v>140</v>
      </c>
      <c r="H8" s="424">
        <v>160</v>
      </c>
      <c r="I8" s="424">
        <v>2040</v>
      </c>
      <c r="J8" s="425">
        <v>79.400000000000006</v>
      </c>
      <c r="K8" s="254">
        <v>160</v>
      </c>
      <c r="L8" s="426">
        <v>90</v>
      </c>
      <c r="M8" s="430" t="s">
        <v>220</v>
      </c>
    </row>
    <row r="9" spans="2:33" x14ac:dyDescent="0.2">
      <c r="B9" s="422" t="s">
        <v>185</v>
      </c>
      <c r="C9" s="429" t="s">
        <v>186</v>
      </c>
      <c r="D9" s="426" t="s">
        <v>213</v>
      </c>
      <c r="E9" s="424" t="s">
        <v>189</v>
      </c>
      <c r="F9" s="424" t="s">
        <v>142</v>
      </c>
      <c r="G9" s="254">
        <v>220</v>
      </c>
      <c r="H9" s="424">
        <v>140</v>
      </c>
      <c r="I9" s="424">
        <v>2000</v>
      </c>
      <c r="J9" s="425">
        <v>79.2</v>
      </c>
      <c r="K9" s="254">
        <v>155.4</v>
      </c>
      <c r="L9" s="426">
        <v>90</v>
      </c>
      <c r="M9" s="430" t="s">
        <v>219</v>
      </c>
    </row>
    <row r="10" spans="2:33" x14ac:dyDescent="0.2">
      <c r="B10" s="431" t="s">
        <v>212</v>
      </c>
      <c r="C10" s="423">
        <v>380</v>
      </c>
      <c r="D10" s="426" t="s">
        <v>213</v>
      </c>
      <c r="E10" s="424" t="s">
        <v>190</v>
      </c>
      <c r="F10" s="424" t="s">
        <v>142</v>
      </c>
      <c r="G10" s="254">
        <v>110</v>
      </c>
      <c r="H10" s="424">
        <v>200</v>
      </c>
      <c r="I10" s="424">
        <v>6400</v>
      </c>
      <c r="J10" s="425">
        <v>18</v>
      </c>
      <c r="K10" s="254">
        <v>88.2</v>
      </c>
      <c r="L10" s="426">
        <v>90</v>
      </c>
      <c r="M10" s="432" t="s">
        <v>204</v>
      </c>
    </row>
    <row r="11" spans="2:33" x14ac:dyDescent="0.2">
      <c r="B11" s="431" t="s">
        <v>214</v>
      </c>
      <c r="C11" s="423">
        <v>1216</v>
      </c>
      <c r="D11" s="426" t="s">
        <v>215</v>
      </c>
      <c r="E11" s="424" t="s">
        <v>190</v>
      </c>
      <c r="F11" s="424" t="s">
        <v>142</v>
      </c>
      <c r="G11" s="254">
        <v>110</v>
      </c>
      <c r="H11" s="424">
        <v>230</v>
      </c>
      <c r="I11" s="424">
        <v>6400</v>
      </c>
      <c r="J11" s="425">
        <v>19.579999999999998</v>
      </c>
      <c r="K11" s="254">
        <v>87</v>
      </c>
      <c r="L11" s="426">
        <v>90</v>
      </c>
      <c r="M11" s="432" t="s">
        <v>204</v>
      </c>
    </row>
    <row r="12" spans="2:33" x14ac:dyDescent="0.2">
      <c r="B12" s="422" t="s">
        <v>162</v>
      </c>
      <c r="C12" s="423">
        <v>383</v>
      </c>
      <c r="D12" s="426" t="s">
        <v>215</v>
      </c>
      <c r="E12" s="424" t="s">
        <v>190</v>
      </c>
      <c r="F12" s="424" t="s">
        <v>142</v>
      </c>
      <c r="G12" s="254">
        <v>110</v>
      </c>
      <c r="H12" s="424">
        <v>200</v>
      </c>
      <c r="I12" s="424">
        <v>6400</v>
      </c>
      <c r="J12" s="425">
        <v>18.98</v>
      </c>
      <c r="K12" s="254">
        <v>87</v>
      </c>
      <c r="L12" s="426">
        <v>90</v>
      </c>
      <c r="M12" s="432" t="s">
        <v>204</v>
      </c>
    </row>
    <row r="13" spans="2:33" x14ac:dyDescent="0.2">
      <c r="B13" s="422" t="s">
        <v>216</v>
      </c>
      <c r="C13" s="423" t="s">
        <v>217</v>
      </c>
      <c r="D13" s="426" t="s">
        <v>215</v>
      </c>
      <c r="E13" s="424" t="s">
        <v>187</v>
      </c>
      <c r="F13" s="424" t="s">
        <v>142</v>
      </c>
      <c r="G13" s="254">
        <v>770</v>
      </c>
      <c r="H13" s="424">
        <v>330</v>
      </c>
      <c r="I13" s="424">
        <v>8000</v>
      </c>
      <c r="J13" s="425">
        <v>200.84</v>
      </c>
      <c r="K13" s="254">
        <v>409</v>
      </c>
      <c r="L13" s="426">
        <v>100</v>
      </c>
      <c r="M13" s="430" t="s">
        <v>218</v>
      </c>
    </row>
    <row r="14" spans="2:33" x14ac:dyDescent="0.2">
      <c r="B14" s="422" t="s">
        <v>201</v>
      </c>
      <c r="C14" s="429" t="s">
        <v>191</v>
      </c>
      <c r="D14" s="424" t="s">
        <v>222</v>
      </c>
      <c r="E14" s="424" t="s">
        <v>188</v>
      </c>
      <c r="F14" s="424" t="s">
        <v>194</v>
      </c>
      <c r="G14" s="254">
        <v>55</v>
      </c>
      <c r="H14" s="424">
        <v>200</v>
      </c>
      <c r="I14" s="424" t="s">
        <v>194</v>
      </c>
      <c r="J14" s="425">
        <v>26.4</v>
      </c>
      <c r="K14" s="254">
        <v>47</v>
      </c>
      <c r="L14" s="426">
        <v>60</v>
      </c>
      <c r="M14" s="430" t="s">
        <v>286</v>
      </c>
    </row>
    <row r="15" spans="2:33" x14ac:dyDescent="0.2">
      <c r="B15" s="422" t="s">
        <v>202</v>
      </c>
      <c r="C15" s="429" t="s">
        <v>192</v>
      </c>
      <c r="D15" s="424" t="s">
        <v>222</v>
      </c>
      <c r="E15" s="424" t="s">
        <v>188</v>
      </c>
      <c r="F15" s="424" t="s">
        <v>194</v>
      </c>
      <c r="G15" s="254">
        <v>50</v>
      </c>
      <c r="H15" s="424">
        <v>200</v>
      </c>
      <c r="I15" s="424" t="s">
        <v>194</v>
      </c>
      <c r="J15" s="425">
        <v>26.4</v>
      </c>
      <c r="K15" s="254">
        <v>47</v>
      </c>
      <c r="L15" s="426">
        <v>60</v>
      </c>
      <c r="M15" s="430" t="s">
        <v>287</v>
      </c>
    </row>
    <row r="16" spans="2:33" x14ac:dyDescent="0.2">
      <c r="B16" s="422" t="s">
        <v>200</v>
      </c>
      <c r="C16" s="429" t="s">
        <v>193</v>
      </c>
      <c r="D16" s="424" t="s">
        <v>222</v>
      </c>
      <c r="E16" s="424" t="s">
        <v>188</v>
      </c>
      <c r="F16" s="424" t="s">
        <v>194</v>
      </c>
      <c r="G16" s="254">
        <v>65</v>
      </c>
      <c r="H16" s="424">
        <v>200</v>
      </c>
      <c r="I16" s="424" t="s">
        <v>194</v>
      </c>
      <c r="J16" s="425">
        <v>26.4</v>
      </c>
      <c r="K16" s="254">
        <v>49</v>
      </c>
      <c r="L16" s="426">
        <v>70</v>
      </c>
      <c r="M16" s="430" t="s">
        <v>199</v>
      </c>
    </row>
    <row r="17" spans="2:13" x14ac:dyDescent="0.2">
      <c r="B17" s="422" t="s">
        <v>196</v>
      </c>
      <c r="C17" s="426" t="s">
        <v>222</v>
      </c>
      <c r="D17" s="426" t="s">
        <v>222</v>
      </c>
      <c r="E17" s="424" t="s">
        <v>195</v>
      </c>
      <c r="F17" s="424" t="s">
        <v>194</v>
      </c>
      <c r="G17" s="254">
        <v>2.9</v>
      </c>
      <c r="H17" s="424">
        <v>120</v>
      </c>
      <c r="I17" s="424" t="s">
        <v>194</v>
      </c>
      <c r="J17" s="425">
        <v>19.64</v>
      </c>
      <c r="K17" s="254">
        <v>20</v>
      </c>
      <c r="L17" s="426">
        <v>50</v>
      </c>
      <c r="M17" s="430" t="s">
        <v>208</v>
      </c>
    </row>
    <row r="18" spans="2:13" x14ac:dyDescent="0.2">
      <c r="B18" s="422" t="s">
        <v>197</v>
      </c>
      <c r="C18" s="426" t="s">
        <v>222</v>
      </c>
      <c r="D18" s="426" t="s">
        <v>222</v>
      </c>
      <c r="E18" s="424" t="s">
        <v>195</v>
      </c>
      <c r="F18" s="424" t="s">
        <v>194</v>
      </c>
      <c r="G18" s="254">
        <v>3.2</v>
      </c>
      <c r="H18" s="424">
        <v>120</v>
      </c>
      <c r="I18" s="424" t="s">
        <v>194</v>
      </c>
      <c r="J18" s="425">
        <v>23.26</v>
      </c>
      <c r="K18" s="254">
        <v>26.5</v>
      </c>
      <c r="L18" s="426">
        <v>50</v>
      </c>
      <c r="M18" s="430" t="s">
        <v>292</v>
      </c>
    </row>
    <row r="19" spans="2:13" x14ac:dyDescent="0.2">
      <c r="B19" s="422" t="s">
        <v>207</v>
      </c>
      <c r="C19" s="426" t="s">
        <v>222</v>
      </c>
      <c r="D19" s="426" t="s">
        <v>222</v>
      </c>
      <c r="E19" s="424" t="s">
        <v>195</v>
      </c>
      <c r="F19" s="424" t="s">
        <v>194</v>
      </c>
      <c r="G19" s="254">
        <v>3.2</v>
      </c>
      <c r="H19" s="424">
        <v>120</v>
      </c>
      <c r="I19" s="424" t="s">
        <v>194</v>
      </c>
      <c r="J19" s="425">
        <v>16.5</v>
      </c>
      <c r="K19" s="254">
        <v>25</v>
      </c>
      <c r="L19" s="426">
        <v>50</v>
      </c>
      <c r="M19" s="430" t="s">
        <v>293</v>
      </c>
    </row>
    <row r="20" spans="2:13" x14ac:dyDescent="0.2">
      <c r="B20" s="422" t="s">
        <v>288</v>
      </c>
      <c r="C20" s="429">
        <v>761</v>
      </c>
      <c r="D20" s="424" t="s">
        <v>215</v>
      </c>
      <c r="E20" s="424" t="s">
        <v>198</v>
      </c>
      <c r="F20" s="424" t="s">
        <v>141</v>
      </c>
      <c r="G20" s="433">
        <v>90</v>
      </c>
      <c r="H20" s="424">
        <v>140</v>
      </c>
      <c r="I20" s="424">
        <v>2000</v>
      </c>
      <c r="J20" s="425">
        <v>19.28</v>
      </c>
      <c r="K20" s="433">
        <v>80</v>
      </c>
      <c r="L20" s="424">
        <v>80</v>
      </c>
      <c r="M20" s="430" t="s">
        <v>205</v>
      </c>
    </row>
    <row r="21" spans="2:13" x14ac:dyDescent="0.2">
      <c r="B21" s="422" t="s">
        <v>289</v>
      </c>
      <c r="C21" s="429">
        <v>744</v>
      </c>
      <c r="D21" s="424" t="s">
        <v>210</v>
      </c>
      <c r="E21" s="424" t="s">
        <v>198</v>
      </c>
      <c r="F21" s="424" t="s">
        <v>141</v>
      </c>
      <c r="G21" s="433">
        <v>50</v>
      </c>
      <c r="H21" s="424">
        <v>100</v>
      </c>
      <c r="I21" s="424">
        <v>895</v>
      </c>
      <c r="J21" s="425">
        <v>16.399999999999999</v>
      </c>
      <c r="K21" s="433">
        <v>80</v>
      </c>
      <c r="L21" s="424">
        <v>80</v>
      </c>
      <c r="M21" s="430" t="s">
        <v>206</v>
      </c>
    </row>
    <row r="22" spans="2:13" x14ac:dyDescent="0.2">
      <c r="B22" s="422" t="s">
        <v>290</v>
      </c>
      <c r="C22" s="429" t="s">
        <v>305</v>
      </c>
      <c r="D22" s="424" t="s">
        <v>210</v>
      </c>
      <c r="E22" s="424" t="s">
        <v>198</v>
      </c>
      <c r="F22" s="424" t="s">
        <v>141</v>
      </c>
      <c r="G22" s="433">
        <v>30</v>
      </c>
      <c r="H22" s="424">
        <v>80</v>
      </c>
      <c r="I22" s="424">
        <v>392</v>
      </c>
      <c r="J22" s="425">
        <v>9.4499999999999993</v>
      </c>
      <c r="K22" s="433">
        <v>36</v>
      </c>
      <c r="L22" s="424">
        <v>80</v>
      </c>
      <c r="M22" s="430" t="s">
        <v>291</v>
      </c>
    </row>
    <row r="23" spans="2:13" x14ac:dyDescent="0.2">
      <c r="B23" s="422" t="s">
        <v>307</v>
      </c>
      <c r="C23" s="429" t="s">
        <v>306</v>
      </c>
      <c r="D23" s="424" t="s">
        <v>210</v>
      </c>
      <c r="E23" s="424" t="s">
        <v>198</v>
      </c>
      <c r="F23" s="424" t="s">
        <v>141</v>
      </c>
      <c r="G23" s="254">
        <v>30</v>
      </c>
      <c r="H23" s="424">
        <v>100</v>
      </c>
      <c r="I23" s="424">
        <v>1500</v>
      </c>
      <c r="J23" s="425">
        <v>16.66</v>
      </c>
      <c r="K23" s="254">
        <v>72</v>
      </c>
      <c r="L23" s="426">
        <v>80</v>
      </c>
      <c r="M23" s="430" t="s">
        <v>308</v>
      </c>
    </row>
    <row r="24" spans="2:13" x14ac:dyDescent="0.2">
      <c r="B24" s="434"/>
      <c r="C24" s="435"/>
      <c r="D24" s="436"/>
      <c r="E24" s="436"/>
      <c r="F24" s="436"/>
      <c r="G24" s="437"/>
      <c r="H24" s="438"/>
      <c r="I24" s="438"/>
      <c r="J24" s="439"/>
      <c r="K24" s="437"/>
      <c r="L24" s="436"/>
      <c r="M24" s="440"/>
    </row>
    <row r="25" spans="2:13" x14ac:dyDescent="0.2">
      <c r="B25" s="434"/>
      <c r="C25" s="435"/>
      <c r="D25" s="436"/>
      <c r="E25" s="436"/>
      <c r="F25" s="436"/>
      <c r="G25" s="437"/>
      <c r="H25" s="438"/>
      <c r="I25" s="438"/>
      <c r="J25" s="439"/>
      <c r="K25" s="437"/>
      <c r="L25" s="436"/>
      <c r="M25" s="440"/>
    </row>
    <row r="26" spans="2:13" x14ac:dyDescent="0.2">
      <c r="B26" s="434"/>
      <c r="C26" s="435"/>
      <c r="D26" s="436"/>
      <c r="E26" s="436"/>
      <c r="F26" s="436"/>
      <c r="G26" s="437"/>
      <c r="H26" s="438"/>
      <c r="I26" s="438"/>
      <c r="J26" s="439"/>
      <c r="K26" s="437"/>
      <c r="L26" s="436"/>
      <c r="M26" s="440"/>
    </row>
    <row r="27" spans="2:13" x14ac:dyDescent="0.2">
      <c r="B27" s="434"/>
      <c r="C27" s="435"/>
      <c r="D27" s="436"/>
      <c r="E27" s="436"/>
      <c r="F27" s="436"/>
      <c r="G27" s="437"/>
      <c r="H27" s="438"/>
      <c r="I27" s="438"/>
      <c r="J27" s="439"/>
      <c r="K27" s="437"/>
      <c r="L27" s="436"/>
      <c r="M27" s="440"/>
    </row>
    <row r="28" spans="2:13" x14ac:dyDescent="0.2">
      <c r="B28" s="434"/>
      <c r="C28" s="435"/>
      <c r="D28" s="436"/>
      <c r="E28" s="436"/>
      <c r="F28" s="436"/>
      <c r="G28" s="437"/>
      <c r="H28" s="438"/>
      <c r="I28" s="438"/>
      <c r="J28" s="439"/>
      <c r="K28" s="437"/>
      <c r="L28" s="436"/>
      <c r="M28" s="440"/>
    </row>
    <row r="29" spans="2:13" x14ac:dyDescent="0.2">
      <c r="B29" s="434"/>
      <c r="C29" s="435"/>
      <c r="D29" s="436"/>
      <c r="E29" s="436"/>
      <c r="F29" s="436"/>
      <c r="G29" s="437"/>
      <c r="H29" s="438"/>
      <c r="I29" s="438"/>
      <c r="J29" s="439"/>
      <c r="K29" s="437"/>
      <c r="L29" s="436"/>
      <c r="M29" s="440"/>
    </row>
    <row r="30" spans="2:13" ht="13.5" thickBot="1" x14ac:dyDescent="0.25">
      <c r="B30" s="441"/>
      <c r="C30" s="442"/>
      <c r="D30" s="443"/>
      <c r="E30" s="443"/>
      <c r="F30" s="443"/>
      <c r="G30" s="444"/>
      <c r="H30" s="445"/>
      <c r="I30" s="445"/>
      <c r="J30" s="446"/>
      <c r="K30" s="444"/>
      <c r="L30" s="443"/>
      <c r="M30" s="447"/>
    </row>
    <row r="31" spans="2:13" ht="13.5" thickBot="1" x14ac:dyDescent="0.25">
      <c r="B31" s="526" t="s">
        <v>211</v>
      </c>
      <c r="C31" s="527"/>
      <c r="D31" s="527"/>
      <c r="E31" s="527"/>
      <c r="F31" s="527"/>
      <c r="G31" s="527"/>
      <c r="H31" s="527"/>
      <c r="I31" s="527"/>
      <c r="J31" s="527"/>
      <c r="K31" s="527"/>
      <c r="L31" s="527"/>
      <c r="M31" s="528"/>
    </row>
  </sheetData>
  <sheetProtection password="A499" sheet="1"/>
  <mergeCells count="1">
    <mergeCell ref="B31:M31"/>
  </mergeCells>
  <phoneticPr fontId="14" type="noConversion"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7</vt:i4>
      </vt:variant>
      <vt:variant>
        <vt:lpstr>Pojmenované oblasti</vt:lpstr>
      </vt:variant>
      <vt:variant>
        <vt:i4>8</vt:i4>
      </vt:variant>
    </vt:vector>
  </HeadingPairs>
  <TitlesOfParts>
    <vt:vector size="15" baseType="lpstr">
      <vt:lpstr>Úvodní list</vt:lpstr>
      <vt:lpstr>DATA</vt:lpstr>
      <vt:lpstr>Pořízení a provozuschopnost ŽKV</vt:lpstr>
      <vt:lpstr>Parametry jízdy vlaku</vt:lpstr>
      <vt:lpstr>Obsazení vlaku personálem</vt:lpstr>
      <vt:lpstr>SOUHRN PN VLAKŮ</vt:lpstr>
      <vt:lpstr>Katalog vozidel</vt:lpstr>
      <vt:lpstr>Druh_vlaku</vt:lpstr>
      <vt:lpstr>Profese</vt:lpstr>
      <vt:lpstr>rekuperace</vt:lpstr>
      <vt:lpstr>Rychlost</vt:lpstr>
      <vt:lpstr>Sklon</vt:lpstr>
      <vt:lpstr>Trakce</vt:lpstr>
      <vt:lpstr>vlak1</vt:lpstr>
      <vt:lpstr>Zastaveni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Vachtl</dc:creator>
  <cp:lastModifiedBy>Kudlík Michal, Ing.</cp:lastModifiedBy>
  <cp:lastPrinted>2017-01-29T14:48:09Z</cp:lastPrinted>
  <dcterms:created xsi:type="dcterms:W3CDTF">2016-11-14T19:05:28Z</dcterms:created>
  <dcterms:modified xsi:type="dcterms:W3CDTF">2021-01-19T13:28:47Z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PW_WorkDir">
    <vt:lpwstr>d:\pw_data\martin.vachtl\</vt:lpwstr>
  </property>
</Properties>
</file>